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7272~1\AppData\Local\Temp\Rar$DIa5672.29159\"/>
    </mc:Choice>
  </mc:AlternateContent>
  <bookViews>
    <workbookView xWindow="-120" yWindow="-120" windowWidth="29040" windowHeight="15840"/>
  </bookViews>
  <sheets>
    <sheet name="Проект на 2025" sheetId="4" r:id="rId1"/>
  </sheets>
  <definedNames>
    <definedName name="_xlnm.Print_Titles" localSheetId="0">'Проект на 2025'!$A:$E,'Проект на 2025'!$15:$16</definedName>
    <definedName name="_xlnm.Print_Area" localSheetId="0">'Проект на 2025'!$A$1:$BH$208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83" i="4" l="1"/>
  <c r="AF97" i="4"/>
  <c r="AU56" i="4" l="1"/>
  <c r="D167" i="4" l="1"/>
  <c r="BH167" i="4"/>
  <c r="AX207" i="4"/>
  <c r="AV202" i="4" l="1"/>
  <c r="AV201" i="4"/>
  <c r="AU181" i="4"/>
  <c r="AU170" i="4"/>
  <c r="AS172" i="4"/>
  <c r="AE172" i="4"/>
  <c r="S172" i="4"/>
  <c r="R172" i="4"/>
  <c r="D172" i="4" s="1"/>
  <c r="H172" i="4"/>
  <c r="E172" i="4"/>
  <c r="BH171" i="4" l="1"/>
  <c r="BB163" i="4"/>
  <c r="AG163" i="4"/>
  <c r="M163" i="4"/>
  <c r="BB162" i="4"/>
  <c r="AR162" i="4"/>
  <c r="M162" i="4"/>
  <c r="K162" i="4"/>
  <c r="AR161" i="4"/>
  <c r="AA161" i="4"/>
  <c r="Y161" i="4"/>
  <c r="W161" i="4"/>
  <c r="U161" i="4"/>
  <c r="L161" i="4"/>
  <c r="J161" i="4"/>
  <c r="U160" i="4"/>
  <c r="AR140" i="4"/>
  <c r="AR138" i="4"/>
  <c r="AR106" i="4"/>
  <c r="T93" i="4"/>
  <c r="T92" i="4"/>
  <c r="AR86" i="4"/>
  <c r="AG86" i="4"/>
  <c r="AG85" i="4"/>
  <c r="AR85" i="4"/>
  <c r="AR83" i="4"/>
  <c r="AU77" i="4"/>
  <c r="AU58" i="4"/>
  <c r="BE52" i="4"/>
  <c r="F224" i="4" l="1"/>
  <c r="C214" i="4"/>
  <c r="AQ185" i="4" l="1"/>
  <c r="AQ174" i="4"/>
  <c r="AQ167" i="4"/>
  <c r="AQ159" i="4"/>
  <c r="AQ208" i="4"/>
  <c r="AQ143" i="4"/>
  <c r="AQ141" i="4"/>
  <c r="AQ133" i="4"/>
  <c r="AQ127" i="4"/>
  <c r="AQ124" i="4"/>
  <c r="AQ123" i="4" s="1"/>
  <c r="AQ121" i="4"/>
  <c r="AQ120" i="4" s="1"/>
  <c r="AQ116" i="4"/>
  <c r="AQ112" i="4"/>
  <c r="AQ110" i="4"/>
  <c r="AQ105" i="4"/>
  <c r="AQ104" i="4"/>
  <c r="AQ99" i="4"/>
  <c r="AQ89" i="4"/>
  <c r="AQ84" i="4"/>
  <c r="AQ82" i="4"/>
  <c r="AQ81" i="4" s="1"/>
  <c r="AQ59" i="4"/>
  <c r="AQ54" i="4"/>
  <c r="AQ49" i="4"/>
  <c r="AQ48" i="4" s="1"/>
  <c r="AQ45" i="4"/>
  <c r="AQ44" i="4" s="1"/>
  <c r="AQ41" i="4"/>
  <c r="AQ39" i="4" s="1"/>
  <c r="AQ36" i="4"/>
  <c r="AQ34" i="4" s="1"/>
  <c r="AQ31" i="4"/>
  <c r="AQ20" i="4"/>
  <c r="AQ18" i="4"/>
  <c r="AQ17" i="4" s="1"/>
  <c r="AQ217" i="4" l="1"/>
  <c r="AQ146" i="4"/>
  <c r="AQ145" i="4" s="1"/>
  <c r="AQ136" i="4" s="1"/>
  <c r="AQ209" i="4" s="1"/>
  <c r="BB30" i="4"/>
  <c r="BB29" i="4"/>
  <c r="BB28" i="4"/>
  <c r="BB27" i="4"/>
  <c r="BB26" i="4"/>
  <c r="BB25" i="4"/>
  <c r="BB24" i="4"/>
  <c r="BB23" i="4"/>
  <c r="BB22" i="4"/>
  <c r="AQ213" i="4" l="1"/>
  <c r="AQ210" i="4"/>
  <c r="AP154" i="4" l="1"/>
  <c r="F127" i="4" l="1"/>
  <c r="G185" i="4" l="1"/>
  <c r="F185" i="4"/>
  <c r="G174" i="4"/>
  <c r="F174" i="4"/>
  <c r="G167" i="4"/>
  <c r="F167" i="4"/>
  <c r="G159" i="4"/>
  <c r="F159" i="4"/>
  <c r="G146" i="4"/>
  <c r="F146" i="4"/>
  <c r="G145" i="4"/>
  <c r="F145" i="4"/>
  <c r="G143" i="4"/>
  <c r="F143" i="4"/>
  <c r="G141" i="4"/>
  <c r="F141" i="4"/>
  <c r="G136" i="4"/>
  <c r="F136" i="4"/>
  <c r="G133" i="4"/>
  <c r="F133" i="4"/>
  <c r="F123" i="4" s="1"/>
  <c r="G127" i="4"/>
  <c r="G124" i="4"/>
  <c r="F124" i="4"/>
  <c r="G123" i="4"/>
  <c r="G121" i="4"/>
  <c r="F121" i="4"/>
  <c r="G120" i="4"/>
  <c r="F120" i="4"/>
  <c r="G116" i="4"/>
  <c r="F116" i="4"/>
  <c r="G112" i="4"/>
  <c r="F112" i="4"/>
  <c r="G110" i="4"/>
  <c r="F110" i="4"/>
  <c r="G105" i="4"/>
  <c r="F105" i="4"/>
  <c r="G104" i="4"/>
  <c r="F104" i="4"/>
  <c r="G99" i="4"/>
  <c r="F99" i="4"/>
  <c r="G89" i="4"/>
  <c r="F89" i="4"/>
  <c r="G84" i="4"/>
  <c r="F84" i="4"/>
  <c r="G82" i="4"/>
  <c r="F82" i="4"/>
  <c r="G81" i="4"/>
  <c r="F81" i="4"/>
  <c r="G59" i="4"/>
  <c r="F59" i="4"/>
  <c r="G54" i="4"/>
  <c r="F54" i="4"/>
  <c r="G49" i="4"/>
  <c r="F49" i="4"/>
  <c r="G48" i="4"/>
  <c r="F48" i="4"/>
  <c r="G45" i="4"/>
  <c r="F45" i="4"/>
  <c r="G44" i="4"/>
  <c r="F44" i="4"/>
  <c r="G41" i="4"/>
  <c r="F41" i="4"/>
  <c r="G39" i="4"/>
  <c r="F39" i="4"/>
  <c r="G36" i="4"/>
  <c r="F36" i="4"/>
  <c r="G34" i="4"/>
  <c r="F34" i="4"/>
  <c r="G31" i="4"/>
  <c r="F31" i="4"/>
  <c r="G20" i="4"/>
  <c r="F20" i="4"/>
  <c r="G18" i="4"/>
  <c r="F18" i="4"/>
  <c r="AP146" i="4" l="1"/>
  <c r="BE49" i="4" l="1"/>
  <c r="BE208" i="4"/>
  <c r="AS90" i="4" l="1"/>
  <c r="AE90" i="4"/>
  <c r="S90" i="4"/>
  <c r="R90" i="4"/>
  <c r="H90" i="4"/>
  <c r="D90" i="4" l="1"/>
  <c r="E90" i="4"/>
  <c r="BI85" i="4"/>
  <c r="F221" i="4"/>
  <c r="G221" i="4" l="1"/>
  <c r="BG19" i="4" l="1"/>
  <c r="BG100" i="4" l="1"/>
  <c r="AV121" i="4" l="1"/>
  <c r="AW121" i="4"/>
  <c r="AW120" i="4" s="1"/>
  <c r="AX121" i="4"/>
  <c r="AS171" i="4" l="1"/>
  <c r="AE171" i="4"/>
  <c r="S171" i="4"/>
  <c r="R171" i="4"/>
  <c r="H171" i="4"/>
  <c r="D171" i="4" l="1"/>
  <c r="E171" i="4"/>
  <c r="H23" i="4" l="1"/>
  <c r="R23" i="4"/>
  <c r="S23" i="4"/>
  <c r="AE87" i="4" l="1"/>
  <c r="AG84" i="4" l="1"/>
  <c r="AI116" i="4" l="1"/>
  <c r="AI112" i="4"/>
  <c r="AI110" i="4"/>
  <c r="AF116" i="4" l="1"/>
  <c r="AF112" i="4"/>
  <c r="AF110" i="4"/>
  <c r="AF102" i="4"/>
  <c r="AF99" i="4" s="1"/>
  <c r="AF105" i="4"/>
  <c r="BB116" i="4"/>
  <c r="BB112" i="4"/>
  <c r="BB110" i="4"/>
  <c r="BB105" i="4"/>
  <c r="BB99" i="4"/>
  <c r="BB84" i="4"/>
  <c r="AS131" i="4"/>
  <c r="AE131" i="4"/>
  <c r="S131" i="4"/>
  <c r="R131" i="4"/>
  <c r="H131" i="4"/>
  <c r="E131" i="4" l="1"/>
  <c r="D131" i="4"/>
  <c r="AF104" i="4"/>
  <c r="BB104" i="4"/>
  <c r="M121" i="4"/>
  <c r="M120" i="4" s="1"/>
  <c r="M116" i="4"/>
  <c r="M112" i="4"/>
  <c r="M110" i="4"/>
  <c r="M105" i="4"/>
  <c r="M99" i="4"/>
  <c r="M36" i="4"/>
  <c r="M34" i="4" s="1"/>
  <c r="M41" i="4"/>
  <c r="M39" i="4" s="1"/>
  <c r="M45" i="4"/>
  <c r="M44" i="4" s="1"/>
  <c r="M49" i="4"/>
  <c r="M54" i="4"/>
  <c r="M59" i="4"/>
  <c r="M82" i="4"/>
  <c r="M104" i="4" l="1"/>
  <c r="M48" i="4"/>
  <c r="M84" i="4"/>
  <c r="U215" i="4" l="1"/>
  <c r="V215" i="4"/>
  <c r="W215" i="4"/>
  <c r="X215" i="4"/>
  <c r="Y215" i="4"/>
  <c r="Z215" i="4"/>
  <c r="AC215" i="4"/>
  <c r="AD215" i="4"/>
  <c r="AS170" i="4" l="1"/>
  <c r="AY127" i="4" l="1"/>
  <c r="AS132" i="4"/>
  <c r="AE132" i="4"/>
  <c r="S132" i="4"/>
  <c r="R132" i="4"/>
  <c r="H132" i="4"/>
  <c r="E132" i="4" l="1"/>
  <c r="D132" i="4"/>
  <c r="I124" i="4" l="1"/>
  <c r="I121" i="4"/>
  <c r="I120" i="4" s="1"/>
  <c r="I116" i="4"/>
  <c r="I112" i="4"/>
  <c r="I110" i="4"/>
  <c r="I105" i="4"/>
  <c r="I99" i="4"/>
  <c r="I89" i="4"/>
  <c r="I84" i="4"/>
  <c r="I104" i="4" l="1"/>
  <c r="BF208" i="4" l="1"/>
  <c r="BG208" i="4"/>
  <c r="AU69" i="4"/>
  <c r="S125" i="4"/>
  <c r="H163" i="4" l="1"/>
  <c r="AR146" i="4"/>
  <c r="AR208" i="4"/>
  <c r="AE147" i="4" l="1"/>
  <c r="E147" i="4" s="1"/>
  <c r="AY185" i="4"/>
  <c r="AY174" i="4"/>
  <c r="AY159" i="4"/>
  <c r="AY146" i="4"/>
  <c r="AY143" i="4"/>
  <c r="AY141" i="4"/>
  <c r="AY133" i="4"/>
  <c r="AY208" i="4"/>
  <c r="AY124" i="4"/>
  <c r="AY121" i="4"/>
  <c r="AY120" i="4" s="1"/>
  <c r="AY116" i="4"/>
  <c r="AY112" i="4"/>
  <c r="AY110" i="4"/>
  <c r="AY105" i="4"/>
  <c r="AY99" i="4"/>
  <c r="AY84" i="4"/>
  <c r="AY82" i="4"/>
  <c r="AY59" i="4"/>
  <c r="AY54" i="4"/>
  <c r="AY49" i="4"/>
  <c r="AY45" i="4"/>
  <c r="AY44" i="4" s="1"/>
  <c r="AY41" i="4"/>
  <c r="AY39" i="4" s="1"/>
  <c r="AY36" i="4"/>
  <c r="AY34" i="4" s="1"/>
  <c r="AY31" i="4"/>
  <c r="AY20" i="4"/>
  <c r="AY18" i="4"/>
  <c r="AS19" i="4"/>
  <c r="AY81" i="4" l="1"/>
  <c r="AY17" i="4"/>
  <c r="AY48" i="4"/>
  <c r="AY104" i="4"/>
  <c r="AY167" i="4"/>
  <c r="AY217" i="4" s="1"/>
  <c r="AY145" i="4"/>
  <c r="D147" i="4"/>
  <c r="AY123" i="4"/>
  <c r="AY136" i="4" l="1"/>
  <c r="AY209" i="4" l="1"/>
  <c r="AY210" i="4" l="1"/>
  <c r="AY213" i="4"/>
  <c r="BF54" i="4"/>
  <c r="AT54" i="4" l="1"/>
  <c r="J149" i="4"/>
  <c r="M149" i="4"/>
  <c r="AU54" i="4"/>
  <c r="AS56" i="4"/>
  <c r="AE56" i="4"/>
  <c r="S56" i="4"/>
  <c r="S57" i="4"/>
  <c r="AE57" i="4"/>
  <c r="AS57" i="4"/>
  <c r="D57" i="4" l="1"/>
  <c r="E56" i="4"/>
  <c r="D56" i="4"/>
  <c r="E57" i="4"/>
  <c r="AV200" i="4" l="1"/>
  <c r="BJ22" i="4" l="1"/>
  <c r="AS28" i="4"/>
  <c r="AS37" i="4"/>
  <c r="AS192" i="4"/>
  <c r="BA41" i="4"/>
  <c r="BA39" i="4" s="1"/>
  <c r="AS42" i="4"/>
  <c r="BC99" i="4" l="1"/>
  <c r="BD99" i="4"/>
  <c r="BE99" i="4"/>
  <c r="BF99" i="4"/>
  <c r="BG99" i="4"/>
  <c r="BF89" i="4"/>
  <c r="BG89" i="4"/>
  <c r="BJ24" i="4" l="1"/>
  <c r="BJ25" i="4"/>
  <c r="BJ26" i="4"/>
  <c r="BJ27" i="4"/>
  <c r="BJ28" i="4"/>
  <c r="BJ29" i="4"/>
  <c r="BJ30" i="4"/>
  <c r="S207" i="4" l="1"/>
  <c r="S202" i="4"/>
  <c r="S201" i="4"/>
  <c r="S197" i="4"/>
  <c r="S196" i="4"/>
  <c r="S195" i="4"/>
  <c r="S194" i="4"/>
  <c r="S193" i="4"/>
  <c r="S192" i="4"/>
  <c r="S191" i="4"/>
  <c r="S190" i="4"/>
  <c r="S189" i="4"/>
  <c r="S188" i="4"/>
  <c r="S187" i="4"/>
  <c r="S186" i="4"/>
  <c r="S183" i="4"/>
  <c r="S182" i="4"/>
  <c r="S181" i="4"/>
  <c r="S180" i="4"/>
  <c r="S179" i="4"/>
  <c r="S178" i="4"/>
  <c r="S177" i="4"/>
  <c r="S176" i="4"/>
  <c r="S175" i="4"/>
  <c r="S173" i="4"/>
  <c r="S170" i="4"/>
  <c r="S169" i="4"/>
  <c r="S163" i="4"/>
  <c r="S162" i="4"/>
  <c r="S161" i="4"/>
  <c r="S160" i="4"/>
  <c r="S156" i="4"/>
  <c r="S155" i="4"/>
  <c r="S153" i="4"/>
  <c r="S152" i="4"/>
  <c r="S154" i="4"/>
  <c r="S151" i="4"/>
  <c r="S150" i="4"/>
  <c r="S149" i="4"/>
  <c r="S148" i="4"/>
  <c r="S142" i="4"/>
  <c r="S140" i="4"/>
  <c r="S138" i="4"/>
  <c r="S134" i="4"/>
  <c r="S130" i="4"/>
  <c r="S129" i="4"/>
  <c r="S128" i="4"/>
  <c r="S126" i="4"/>
  <c r="S118" i="4"/>
  <c r="S117" i="4"/>
  <c r="S115" i="4"/>
  <c r="S114" i="4"/>
  <c r="S113" i="4"/>
  <c r="S111" i="4"/>
  <c r="S109" i="4"/>
  <c r="S108" i="4"/>
  <c r="S107" i="4"/>
  <c r="S106" i="4"/>
  <c r="S100" i="4"/>
  <c r="S98" i="4"/>
  <c r="S97" i="4"/>
  <c r="S96" i="4"/>
  <c r="S95" i="4"/>
  <c r="S94" i="4"/>
  <c r="S93" i="4"/>
  <c r="S92" i="4"/>
  <c r="S91" i="4"/>
  <c r="S88" i="4"/>
  <c r="S87" i="4"/>
  <c r="S86" i="4"/>
  <c r="S85" i="4"/>
  <c r="S83" i="4"/>
  <c r="S78" i="4"/>
  <c r="S77" i="4"/>
  <c r="S76" i="4"/>
  <c r="S75" i="4"/>
  <c r="S74" i="4"/>
  <c r="S73" i="4"/>
  <c r="S72" i="4"/>
  <c r="S71" i="4"/>
  <c r="S70" i="4"/>
  <c r="S68" i="4"/>
  <c r="S67" i="4"/>
  <c r="S66" i="4"/>
  <c r="S65" i="4"/>
  <c r="S64" i="4"/>
  <c r="S63" i="4"/>
  <c r="S62" i="4"/>
  <c r="S61" i="4"/>
  <c r="S60" i="4"/>
  <c r="S58" i="4"/>
  <c r="S55" i="4"/>
  <c r="S51" i="4"/>
  <c r="S50" i="4"/>
  <c r="S52" i="4"/>
  <c r="S46" i="4"/>
  <c r="S42" i="4"/>
  <c r="S37" i="4"/>
  <c r="S33" i="4"/>
  <c r="S30" i="4"/>
  <c r="S29" i="4"/>
  <c r="S28" i="4"/>
  <c r="S27" i="4"/>
  <c r="S26" i="4"/>
  <c r="S25" i="4"/>
  <c r="S24" i="4"/>
  <c r="S22" i="4"/>
  <c r="S19" i="4"/>
  <c r="R126" i="4"/>
  <c r="AS195" i="4" l="1"/>
  <c r="U59" i="4" l="1"/>
  <c r="V59" i="4"/>
  <c r="W59" i="4"/>
  <c r="X59" i="4"/>
  <c r="Y59" i="4"/>
  <c r="Z59" i="4"/>
  <c r="AA59" i="4"/>
  <c r="AB59" i="4"/>
  <c r="AC59" i="4"/>
  <c r="AD59" i="4"/>
  <c r="U82" i="4"/>
  <c r="V82" i="4"/>
  <c r="W82" i="4"/>
  <c r="X82" i="4"/>
  <c r="Y82" i="4"/>
  <c r="Z82" i="4"/>
  <c r="AA82" i="4"/>
  <c r="AB82" i="4"/>
  <c r="AC82" i="4"/>
  <c r="AD82" i="4"/>
  <c r="U84" i="4"/>
  <c r="V84" i="4"/>
  <c r="W84" i="4"/>
  <c r="X84" i="4"/>
  <c r="Y84" i="4"/>
  <c r="Z84" i="4"/>
  <c r="AA84" i="4"/>
  <c r="AB84" i="4"/>
  <c r="AC84" i="4"/>
  <c r="AD84" i="4"/>
  <c r="U89" i="4"/>
  <c r="V89" i="4"/>
  <c r="W89" i="4"/>
  <c r="X89" i="4"/>
  <c r="Y89" i="4"/>
  <c r="Z89" i="4"/>
  <c r="AA89" i="4"/>
  <c r="AB89" i="4"/>
  <c r="AC89" i="4"/>
  <c r="AD89" i="4"/>
  <c r="U99" i="4"/>
  <c r="U81" i="4" s="1"/>
  <c r="V99" i="4"/>
  <c r="V81" i="4" s="1"/>
  <c r="W99" i="4"/>
  <c r="W81" i="4" s="1"/>
  <c r="X99" i="4"/>
  <c r="X81" i="4" s="1"/>
  <c r="Y99" i="4"/>
  <c r="Y81" i="4" s="1"/>
  <c r="Z99" i="4"/>
  <c r="AA99" i="4"/>
  <c r="AB99" i="4"/>
  <c r="AC99" i="4"/>
  <c r="AD99" i="4"/>
  <c r="AD105" i="4"/>
  <c r="U105" i="4"/>
  <c r="V105" i="4"/>
  <c r="W105" i="4"/>
  <c r="X105" i="4"/>
  <c r="Y105" i="4"/>
  <c r="Z105" i="4"/>
  <c r="AA105" i="4"/>
  <c r="AB105" i="4"/>
  <c r="AC105" i="4"/>
  <c r="U110" i="4"/>
  <c r="V110" i="4"/>
  <c r="W110" i="4"/>
  <c r="X110" i="4"/>
  <c r="Y110" i="4"/>
  <c r="Z110" i="4"/>
  <c r="AA110" i="4"/>
  <c r="AB110" i="4"/>
  <c r="AC110" i="4"/>
  <c r="AD110" i="4"/>
  <c r="U112" i="4"/>
  <c r="V112" i="4"/>
  <c r="W112" i="4"/>
  <c r="X112" i="4"/>
  <c r="Y112" i="4"/>
  <c r="Z112" i="4"/>
  <c r="AA112" i="4"/>
  <c r="AB112" i="4"/>
  <c r="AC112" i="4"/>
  <c r="AD112" i="4"/>
  <c r="U116" i="4"/>
  <c r="V116" i="4"/>
  <c r="W116" i="4"/>
  <c r="X116" i="4"/>
  <c r="Y116" i="4"/>
  <c r="Z116" i="4"/>
  <c r="AA116" i="4"/>
  <c r="AB116" i="4"/>
  <c r="AC116" i="4"/>
  <c r="AD116" i="4"/>
  <c r="U121" i="4"/>
  <c r="U120" i="4" s="1"/>
  <c r="V121" i="4"/>
  <c r="V120" i="4" s="1"/>
  <c r="W121" i="4"/>
  <c r="W120" i="4" s="1"/>
  <c r="X121" i="4"/>
  <c r="X120" i="4" s="1"/>
  <c r="Y121" i="4"/>
  <c r="Y120" i="4" s="1"/>
  <c r="Z121" i="4"/>
  <c r="Z120" i="4" s="1"/>
  <c r="AA121" i="4"/>
  <c r="AA120" i="4" s="1"/>
  <c r="AB121" i="4"/>
  <c r="AB120" i="4" s="1"/>
  <c r="AC121" i="4"/>
  <c r="AC120" i="4" s="1"/>
  <c r="AD121" i="4"/>
  <c r="AD120" i="4" s="1"/>
  <c r="U124" i="4"/>
  <c r="V124" i="4"/>
  <c r="W124" i="4"/>
  <c r="X124" i="4"/>
  <c r="Y124" i="4"/>
  <c r="Z124" i="4"/>
  <c r="AA124" i="4"/>
  <c r="AB124" i="4"/>
  <c r="AC124" i="4"/>
  <c r="AD124" i="4"/>
  <c r="U127" i="4"/>
  <c r="V127" i="4"/>
  <c r="W127" i="4"/>
  <c r="X127" i="4"/>
  <c r="Y127" i="4"/>
  <c r="Z127" i="4"/>
  <c r="AA127" i="4"/>
  <c r="AB127" i="4"/>
  <c r="AC127" i="4"/>
  <c r="AD127" i="4"/>
  <c r="U133" i="4"/>
  <c r="V133" i="4"/>
  <c r="W133" i="4"/>
  <c r="X133" i="4"/>
  <c r="Y133" i="4"/>
  <c r="Z133" i="4"/>
  <c r="AA133" i="4"/>
  <c r="AB133" i="4"/>
  <c r="AC133" i="4"/>
  <c r="AD133" i="4"/>
  <c r="U141" i="4"/>
  <c r="V141" i="4"/>
  <c r="W141" i="4"/>
  <c r="X141" i="4"/>
  <c r="Y141" i="4"/>
  <c r="Z141" i="4"/>
  <c r="AA141" i="4"/>
  <c r="AB141" i="4"/>
  <c r="AC141" i="4"/>
  <c r="AD141" i="4"/>
  <c r="U146" i="4"/>
  <c r="V146" i="4"/>
  <c r="W146" i="4"/>
  <c r="X146" i="4"/>
  <c r="Y146" i="4"/>
  <c r="Z146" i="4"/>
  <c r="AA146" i="4"/>
  <c r="AB146" i="4"/>
  <c r="AC146" i="4"/>
  <c r="AD146" i="4"/>
  <c r="U159" i="4"/>
  <c r="V159" i="4"/>
  <c r="V216" i="4" s="1"/>
  <c r="W159" i="4"/>
  <c r="X159" i="4"/>
  <c r="Y159" i="4"/>
  <c r="Z159" i="4"/>
  <c r="AA159" i="4"/>
  <c r="AA145" i="4" s="1"/>
  <c r="AB159" i="4"/>
  <c r="AB216" i="4" s="1"/>
  <c r="AC159" i="4"/>
  <c r="AC216" i="4" s="1"/>
  <c r="AD159" i="4"/>
  <c r="U174" i="4"/>
  <c r="V174" i="4"/>
  <c r="W174" i="4"/>
  <c r="X174" i="4"/>
  <c r="Y174" i="4"/>
  <c r="Z174" i="4"/>
  <c r="AA174" i="4"/>
  <c r="AB174" i="4"/>
  <c r="AC174" i="4"/>
  <c r="AD174" i="4"/>
  <c r="U185" i="4"/>
  <c r="V185" i="4"/>
  <c r="W185" i="4"/>
  <c r="X185" i="4"/>
  <c r="Y185" i="4"/>
  <c r="Z185" i="4"/>
  <c r="AA185" i="4"/>
  <c r="AB185" i="4"/>
  <c r="AC185" i="4"/>
  <c r="AD185" i="4"/>
  <c r="V208" i="4"/>
  <c r="W208" i="4"/>
  <c r="X208" i="4"/>
  <c r="Y208" i="4"/>
  <c r="Z208" i="4"/>
  <c r="AA208" i="4"/>
  <c r="AB208" i="4"/>
  <c r="AC208" i="4"/>
  <c r="AD208" i="4"/>
  <c r="T208" i="4"/>
  <c r="U54" i="4"/>
  <c r="V54" i="4"/>
  <c r="V48" i="4" s="1"/>
  <c r="W54" i="4"/>
  <c r="X54" i="4"/>
  <c r="X48" i="4" s="1"/>
  <c r="Y54" i="4"/>
  <c r="Z54" i="4"/>
  <c r="Z48" i="4" s="1"/>
  <c r="AA54" i="4"/>
  <c r="AB54" i="4"/>
  <c r="AB48" i="4" s="1"/>
  <c r="AC54" i="4"/>
  <c r="AD54" i="4"/>
  <c r="AD48" i="4" s="1"/>
  <c r="U44" i="4"/>
  <c r="V44" i="4"/>
  <c r="W44" i="4"/>
  <c r="X44" i="4"/>
  <c r="Y44" i="4"/>
  <c r="Z44" i="4"/>
  <c r="AA44" i="4"/>
  <c r="AB44" i="4"/>
  <c r="AC44" i="4"/>
  <c r="AD44" i="4"/>
  <c r="U41" i="4"/>
  <c r="V41" i="4"/>
  <c r="W41" i="4"/>
  <c r="X41" i="4"/>
  <c r="Y41" i="4"/>
  <c r="Z41" i="4"/>
  <c r="AA41" i="4"/>
  <c r="AB41" i="4"/>
  <c r="AC41" i="4"/>
  <c r="AD41" i="4"/>
  <c r="U39" i="4"/>
  <c r="V39" i="4"/>
  <c r="W39" i="4"/>
  <c r="X39" i="4"/>
  <c r="Y39" i="4"/>
  <c r="Z39" i="4"/>
  <c r="AA39" i="4"/>
  <c r="AB39" i="4"/>
  <c r="AC39" i="4"/>
  <c r="AD39" i="4"/>
  <c r="U36" i="4"/>
  <c r="V36" i="4"/>
  <c r="W36" i="4"/>
  <c r="X36" i="4"/>
  <c r="Y36" i="4"/>
  <c r="Z36" i="4"/>
  <c r="AA36" i="4"/>
  <c r="AB36" i="4"/>
  <c r="AC36" i="4"/>
  <c r="AD36" i="4"/>
  <c r="U34" i="4"/>
  <c r="V34" i="4"/>
  <c r="W34" i="4"/>
  <c r="X34" i="4"/>
  <c r="Y34" i="4"/>
  <c r="Z34" i="4"/>
  <c r="AA34" i="4"/>
  <c r="AB34" i="4"/>
  <c r="AC34" i="4"/>
  <c r="AD34" i="4"/>
  <c r="V31" i="4"/>
  <c r="W31" i="4"/>
  <c r="X31" i="4"/>
  <c r="Y31" i="4"/>
  <c r="Z31" i="4"/>
  <c r="AA31" i="4"/>
  <c r="AB31" i="4"/>
  <c r="AC31" i="4"/>
  <c r="AD31" i="4"/>
  <c r="V20" i="4"/>
  <c r="W20" i="4"/>
  <c r="X20" i="4"/>
  <c r="Y20" i="4"/>
  <c r="Z20" i="4"/>
  <c r="AA20" i="4"/>
  <c r="AB20" i="4"/>
  <c r="AC20" i="4"/>
  <c r="AD20" i="4"/>
  <c r="U18" i="4"/>
  <c r="V18" i="4"/>
  <c r="W18" i="4"/>
  <c r="X18" i="4"/>
  <c r="X17" i="4" s="1"/>
  <c r="Y18" i="4"/>
  <c r="Z18" i="4"/>
  <c r="AA18" i="4"/>
  <c r="AB18" i="4"/>
  <c r="AC18" i="4"/>
  <c r="AD18" i="4"/>
  <c r="W214" i="4" l="1"/>
  <c r="AC214" i="4"/>
  <c r="AA214" i="4"/>
  <c r="AA221" i="4"/>
  <c r="Z145" i="4"/>
  <c r="Z216" i="4"/>
  <c r="X145" i="4"/>
  <c r="X216" i="4"/>
  <c r="AD214" i="4"/>
  <c r="AB214" i="4"/>
  <c r="Z214" i="4"/>
  <c r="Y145" i="4"/>
  <c r="Y216" i="4"/>
  <c r="Y214" i="4"/>
  <c r="W145" i="4"/>
  <c r="W216" i="4"/>
  <c r="U145" i="4"/>
  <c r="U216" i="4"/>
  <c r="X214" i="4"/>
  <c r="V214" i="4"/>
  <c r="S215" i="4"/>
  <c r="AB104" i="4"/>
  <c r="AC48" i="4"/>
  <c r="AA48" i="4"/>
  <c r="Y48" i="4"/>
  <c r="W48" i="4"/>
  <c r="U48" i="4"/>
  <c r="Z81" i="4"/>
  <c r="AC167" i="4"/>
  <c r="AC217" i="4" s="1"/>
  <c r="AA167" i="4"/>
  <c r="AA217" i="4" s="1"/>
  <c r="Y167" i="4"/>
  <c r="Y217" i="4" s="1"/>
  <c r="W167" i="4"/>
  <c r="W217" i="4" s="1"/>
  <c r="U167" i="4"/>
  <c r="AD167" i="4"/>
  <c r="AD217" i="4" s="1"/>
  <c r="AB167" i="4"/>
  <c r="AB217" i="4" s="1"/>
  <c r="Z167" i="4"/>
  <c r="X167" i="4"/>
  <c r="X217" i="4" s="1"/>
  <c r="V167" i="4"/>
  <c r="V217" i="4" s="1"/>
  <c r="AB123" i="4"/>
  <c r="AD104" i="4"/>
  <c r="AC104" i="4"/>
  <c r="AA104" i="4"/>
  <c r="Y104" i="4"/>
  <c r="W104" i="4"/>
  <c r="U104" i="4"/>
  <c r="AB81" i="4"/>
  <c r="AD17" i="4"/>
  <c r="AC145" i="4"/>
  <c r="AC123" i="4"/>
  <c r="AA123" i="4"/>
  <c r="Y123" i="4"/>
  <c r="W123" i="4"/>
  <c r="U123" i="4"/>
  <c r="V145" i="4"/>
  <c r="V136" i="4" s="1"/>
  <c r="AD145" i="4"/>
  <c r="AB145" i="4"/>
  <c r="AD123" i="4"/>
  <c r="Z123" i="4"/>
  <c r="X123" i="4"/>
  <c r="V123" i="4"/>
  <c r="Z104" i="4"/>
  <c r="X104" i="4"/>
  <c r="V104" i="4"/>
  <c r="AA81" i="4"/>
  <c r="AD81" i="4"/>
  <c r="AC81" i="4"/>
  <c r="Z17" i="4"/>
  <c r="V17" i="4"/>
  <c r="S157" i="4"/>
  <c r="S135" i="4"/>
  <c r="S47" i="4"/>
  <c r="S168" i="4"/>
  <c r="S198" i="4"/>
  <c r="S164" i="4"/>
  <c r="S141" i="4"/>
  <c r="S133" i="4"/>
  <c r="S122" i="4"/>
  <c r="S121" i="4" s="1"/>
  <c r="S120" i="4" s="1"/>
  <c r="S101" i="4"/>
  <c r="S102" i="4"/>
  <c r="N99" i="4"/>
  <c r="S116" i="4"/>
  <c r="S110" i="4"/>
  <c r="S82" i="4"/>
  <c r="Q45" i="4"/>
  <c r="R55" i="4"/>
  <c r="R54" i="4" s="1"/>
  <c r="Q54" i="4"/>
  <c r="S54" i="4"/>
  <c r="S45" i="4"/>
  <c r="S44" i="4" s="1"/>
  <c r="S36" i="4"/>
  <c r="S34" i="4" s="1"/>
  <c r="R19" i="4"/>
  <c r="E206" i="4"/>
  <c r="E205" i="4"/>
  <c r="E204" i="4"/>
  <c r="E144" i="4"/>
  <c r="E143" i="4" s="1"/>
  <c r="S143" i="4"/>
  <c r="S41" i="4"/>
  <c r="S39" i="4" s="1"/>
  <c r="X136" i="4" l="1"/>
  <c r="X209" i="4" s="1"/>
  <c r="X213" i="4" s="1"/>
  <c r="Z136" i="4"/>
  <c r="Z209" i="4" s="1"/>
  <c r="Z210" i="4" s="1"/>
  <c r="Z217" i="4"/>
  <c r="AD136" i="4"/>
  <c r="AD209" i="4" s="1"/>
  <c r="V209" i="4"/>
  <c r="V213" i="4" s="1"/>
  <c r="S105" i="4"/>
  <c r="S89" i="4"/>
  <c r="S124" i="4"/>
  <c r="S79" i="4"/>
  <c r="S185" i="4"/>
  <c r="S18" i="4"/>
  <c r="S49" i="4"/>
  <c r="S99" i="4"/>
  <c r="S146" i="4"/>
  <c r="S200" i="4"/>
  <c r="S159" i="4"/>
  <c r="S145" i="4" s="1"/>
  <c r="S174" i="4"/>
  <c r="S127" i="4"/>
  <c r="S59" i="4"/>
  <c r="S84" i="4"/>
  <c r="Z213" i="4" l="1"/>
  <c r="AD213" i="4"/>
  <c r="AD210" i="4"/>
  <c r="V210" i="4"/>
  <c r="X210" i="4"/>
  <c r="S123" i="4"/>
  <c r="S167" i="4"/>
  <c r="S81" i="4"/>
  <c r="BD208" i="4"/>
  <c r="BC208" i="4"/>
  <c r="BA208" i="4"/>
  <c r="AZ208" i="4"/>
  <c r="AX208" i="4"/>
  <c r="AV208" i="4"/>
  <c r="AW208" i="4"/>
  <c r="AT208" i="4"/>
  <c r="AO208" i="4"/>
  <c r="AN208" i="4"/>
  <c r="AM208" i="4"/>
  <c r="AL208" i="4"/>
  <c r="AK208" i="4"/>
  <c r="AJ208" i="4"/>
  <c r="AH208" i="4"/>
  <c r="AG208" i="4"/>
  <c r="AS207" i="4"/>
  <c r="AE207" i="4"/>
  <c r="R207" i="4"/>
  <c r="H207" i="4"/>
  <c r="D207" i="4"/>
  <c r="AS206" i="4"/>
  <c r="D206" i="4" s="1"/>
  <c r="AS205" i="4"/>
  <c r="D205" i="4" s="1"/>
  <c r="AS204" i="4"/>
  <c r="D204" i="4" s="1"/>
  <c r="AS203" i="4"/>
  <c r="AS202" i="4"/>
  <c r="AE202" i="4"/>
  <c r="R202" i="4"/>
  <c r="H202" i="4"/>
  <c r="AS201" i="4"/>
  <c r="AE201" i="4"/>
  <c r="R201" i="4"/>
  <c r="H201" i="4"/>
  <c r="AW200" i="4"/>
  <c r="AE200" i="4"/>
  <c r="R200" i="4"/>
  <c r="H200" i="4"/>
  <c r="H199" i="4"/>
  <c r="H198" i="4"/>
  <c r="H197" i="4"/>
  <c r="H196" i="4"/>
  <c r="H195" i="4"/>
  <c r="AS194" i="4"/>
  <c r="AS193" i="4"/>
  <c r="AS191" i="4"/>
  <c r="AS190" i="4"/>
  <c r="AS189" i="4"/>
  <c r="AS188" i="4"/>
  <c r="AS187" i="4"/>
  <c r="E187" i="4" s="1"/>
  <c r="AS186" i="4"/>
  <c r="AE186" i="4"/>
  <c r="R186" i="4"/>
  <c r="R185" i="4" s="1"/>
  <c r="H186" i="4"/>
  <c r="H185" i="4" s="1"/>
  <c r="BB185" i="4"/>
  <c r="AZ185" i="4"/>
  <c r="AV185" i="4"/>
  <c r="AW185" i="4"/>
  <c r="AU185" i="4"/>
  <c r="AT185" i="4"/>
  <c r="AR185" i="4"/>
  <c r="AP185" i="4"/>
  <c r="AO185" i="4"/>
  <c r="AN185" i="4"/>
  <c r="AM185" i="4"/>
  <c r="AL185" i="4"/>
  <c r="AK185" i="4"/>
  <c r="AJ185" i="4"/>
  <c r="AI185" i="4"/>
  <c r="AG185" i="4"/>
  <c r="AF185" i="4"/>
  <c r="T185" i="4"/>
  <c r="Q185" i="4"/>
  <c r="P185" i="4"/>
  <c r="O185" i="4"/>
  <c r="N185" i="4"/>
  <c r="M185" i="4"/>
  <c r="L185" i="4"/>
  <c r="K185" i="4"/>
  <c r="J185" i="4"/>
  <c r="I185" i="4"/>
  <c r="AS183" i="4"/>
  <c r="AS182" i="4"/>
  <c r="AS181" i="4"/>
  <c r="AS180" i="4"/>
  <c r="AS179" i="4"/>
  <c r="AS178" i="4"/>
  <c r="AS177" i="4"/>
  <c r="AS176" i="4"/>
  <c r="AS175" i="4"/>
  <c r="AE175" i="4"/>
  <c r="R175" i="4"/>
  <c r="R174" i="4" s="1"/>
  <c r="H175" i="4"/>
  <c r="BB174" i="4"/>
  <c r="AZ174" i="4"/>
  <c r="AV174" i="4"/>
  <c r="AW174" i="4"/>
  <c r="AU174" i="4"/>
  <c r="AT174" i="4"/>
  <c r="AR174" i="4"/>
  <c r="AP174" i="4"/>
  <c r="AO174" i="4"/>
  <c r="AN174" i="4"/>
  <c r="AM174" i="4"/>
  <c r="AL174" i="4"/>
  <c r="AK174" i="4"/>
  <c r="AJ174" i="4"/>
  <c r="AI174" i="4"/>
  <c r="AG174" i="4"/>
  <c r="AF174" i="4"/>
  <c r="T174" i="4"/>
  <c r="Q174" i="4"/>
  <c r="P174" i="4"/>
  <c r="O174" i="4"/>
  <c r="N174" i="4"/>
  <c r="M174" i="4"/>
  <c r="L174" i="4"/>
  <c r="K174" i="4"/>
  <c r="J174" i="4"/>
  <c r="I174" i="4"/>
  <c r="AS173" i="4"/>
  <c r="AE173" i="4"/>
  <c r="R173" i="4"/>
  <c r="H173" i="4"/>
  <c r="AE170" i="4"/>
  <c r="AE169" i="4"/>
  <c r="AS168" i="4"/>
  <c r="AE168" i="4"/>
  <c r="R168" i="4"/>
  <c r="H168" i="4"/>
  <c r="BG167" i="4"/>
  <c r="BF167" i="4"/>
  <c r="BE167" i="4"/>
  <c r="BD167" i="4"/>
  <c r="BC167" i="4"/>
  <c r="BA167" i="4"/>
  <c r="AX167" i="4"/>
  <c r="AH167" i="4"/>
  <c r="AS164" i="4"/>
  <c r="AE164" i="4"/>
  <c r="R164" i="4"/>
  <c r="H164" i="4"/>
  <c r="AS163" i="4"/>
  <c r="AE163" i="4"/>
  <c r="R163" i="4"/>
  <c r="AS162" i="4"/>
  <c r="AE162" i="4"/>
  <c r="R162" i="4"/>
  <c r="H162" i="4"/>
  <c r="AS161" i="4"/>
  <c r="AE161" i="4"/>
  <c r="R161" i="4"/>
  <c r="H161" i="4"/>
  <c r="AS160" i="4"/>
  <c r="AE160" i="4"/>
  <c r="R160" i="4"/>
  <c r="H160" i="4"/>
  <c r="BH159" i="4"/>
  <c r="BG159" i="4"/>
  <c r="BG217" i="4" s="1"/>
  <c r="BF159" i="4"/>
  <c r="BF217" i="4" s="1"/>
  <c r="BE159" i="4"/>
  <c r="BD159" i="4"/>
  <c r="BD145" i="4" s="1"/>
  <c r="BC159" i="4"/>
  <c r="BC145" i="4" s="1"/>
  <c r="BB159" i="4"/>
  <c r="BA159" i="4"/>
  <c r="BA145" i="4" s="1"/>
  <c r="AZ159" i="4"/>
  <c r="AX159" i="4"/>
  <c r="AX145" i="4" s="1"/>
  <c r="AV159" i="4"/>
  <c r="AV145" i="4" s="1"/>
  <c r="AW159" i="4"/>
  <c r="AW145" i="4" s="1"/>
  <c r="AU159" i="4"/>
  <c r="AT159" i="4"/>
  <c r="AR159" i="4"/>
  <c r="AR11" i="4" s="1"/>
  <c r="AP159" i="4"/>
  <c r="AO159" i="4"/>
  <c r="AN159" i="4"/>
  <c r="AM159" i="4"/>
  <c r="AL159" i="4"/>
  <c r="AK159" i="4"/>
  <c r="AJ159" i="4"/>
  <c r="AI159" i="4"/>
  <c r="AH159" i="4"/>
  <c r="AG159" i="4"/>
  <c r="AF159" i="4"/>
  <c r="T159" i="4"/>
  <c r="Q159" i="4"/>
  <c r="P159" i="4"/>
  <c r="O159" i="4"/>
  <c r="N159" i="4"/>
  <c r="M159" i="4"/>
  <c r="L159" i="4"/>
  <c r="K159" i="4"/>
  <c r="J159" i="4"/>
  <c r="I159" i="4"/>
  <c r="AS157" i="4"/>
  <c r="AE157" i="4"/>
  <c r="R157" i="4"/>
  <c r="H157" i="4"/>
  <c r="AE156" i="4"/>
  <c r="R156" i="4"/>
  <c r="H156" i="4"/>
  <c r="AS155" i="4"/>
  <c r="AE155" i="4"/>
  <c r="R155" i="4"/>
  <c r="H155" i="4"/>
  <c r="AS153" i="4"/>
  <c r="AE153" i="4"/>
  <c r="R153" i="4"/>
  <c r="H153" i="4"/>
  <c r="AS152" i="4"/>
  <c r="AE152" i="4"/>
  <c r="R152" i="4"/>
  <c r="H152" i="4"/>
  <c r="AS154" i="4"/>
  <c r="R154" i="4"/>
  <c r="H154" i="4"/>
  <c r="AS151" i="4"/>
  <c r="AE151" i="4"/>
  <c r="R151" i="4"/>
  <c r="H151" i="4"/>
  <c r="AS150" i="4"/>
  <c r="AE150" i="4"/>
  <c r="R150" i="4"/>
  <c r="H150" i="4"/>
  <c r="AS149" i="4"/>
  <c r="AE149" i="4"/>
  <c r="R149" i="4"/>
  <c r="H149" i="4"/>
  <c r="AS148" i="4"/>
  <c r="AE148" i="4"/>
  <c r="R148" i="4"/>
  <c r="H148" i="4"/>
  <c r="BH146" i="4"/>
  <c r="BG146" i="4"/>
  <c r="BG145" i="4" s="1"/>
  <c r="BF146" i="4"/>
  <c r="BE146" i="4"/>
  <c r="BE145" i="4" s="1"/>
  <c r="BB146" i="4"/>
  <c r="AZ146" i="4"/>
  <c r="AU146" i="4"/>
  <c r="AU145" i="4" s="1"/>
  <c r="AT146" i="4"/>
  <c r="AO146" i="4"/>
  <c r="AN146" i="4"/>
  <c r="AM146" i="4"/>
  <c r="AL146" i="4"/>
  <c r="AK146" i="4"/>
  <c r="AJ146" i="4"/>
  <c r="AI146" i="4"/>
  <c r="AH146" i="4"/>
  <c r="AG146" i="4"/>
  <c r="AF146" i="4"/>
  <c r="T146" i="4"/>
  <c r="Q146" i="4"/>
  <c r="P146" i="4"/>
  <c r="O146" i="4"/>
  <c r="N146" i="4"/>
  <c r="M146" i="4"/>
  <c r="L146" i="4"/>
  <c r="K146" i="4"/>
  <c r="J146" i="4"/>
  <c r="I146" i="4"/>
  <c r="AE144" i="4"/>
  <c r="BH143" i="4"/>
  <c r="BG143" i="4"/>
  <c r="BF143" i="4"/>
  <c r="BE143" i="4"/>
  <c r="BB143" i="4"/>
  <c r="AZ143" i="4"/>
  <c r="AX143" i="4"/>
  <c r="AV143" i="4"/>
  <c r="AW143" i="4"/>
  <c r="AU143" i="4"/>
  <c r="AT143" i="4"/>
  <c r="AS143" i="4"/>
  <c r="AR143" i="4"/>
  <c r="AP143" i="4"/>
  <c r="AO143" i="4"/>
  <c r="AN143" i="4"/>
  <c r="AM143" i="4"/>
  <c r="AL143" i="4"/>
  <c r="AK143" i="4"/>
  <c r="AJ143" i="4"/>
  <c r="AI143" i="4"/>
  <c r="AH143" i="4"/>
  <c r="AG143" i="4"/>
  <c r="AF143" i="4"/>
  <c r="AC143" i="4"/>
  <c r="AC136" i="4" s="1"/>
  <c r="AB143" i="4"/>
  <c r="AB136" i="4" s="1"/>
  <c r="AA143" i="4"/>
  <c r="AA136" i="4" s="1"/>
  <c r="Y143" i="4"/>
  <c r="Y136" i="4" s="1"/>
  <c r="W143" i="4"/>
  <c r="W136" i="4" s="1"/>
  <c r="U143" i="4"/>
  <c r="U136" i="4" s="1"/>
  <c r="T143" i="4"/>
  <c r="R143" i="4"/>
  <c r="Q143" i="4"/>
  <c r="P143" i="4"/>
  <c r="O143" i="4"/>
  <c r="N143" i="4"/>
  <c r="M143" i="4"/>
  <c r="L143" i="4"/>
  <c r="K143" i="4"/>
  <c r="J143" i="4"/>
  <c r="I143" i="4"/>
  <c r="H143" i="4"/>
  <c r="AS142" i="4"/>
  <c r="AS141" i="4" s="1"/>
  <c r="R142" i="4"/>
  <c r="H142" i="4"/>
  <c r="BB141" i="4"/>
  <c r="AZ141" i="4"/>
  <c r="AU141" i="4"/>
  <c r="AT141" i="4"/>
  <c r="AP141" i="4"/>
  <c r="AO141" i="4"/>
  <c r="AN141" i="4"/>
  <c r="AM141" i="4"/>
  <c r="AL141" i="4"/>
  <c r="AK141" i="4"/>
  <c r="AJ141" i="4"/>
  <c r="AI141" i="4"/>
  <c r="AH141" i="4"/>
  <c r="AG141" i="4"/>
  <c r="AF141" i="4"/>
  <c r="T141" i="4"/>
  <c r="Q141" i="4"/>
  <c r="P141" i="4"/>
  <c r="O141" i="4"/>
  <c r="N141" i="4"/>
  <c r="M141" i="4"/>
  <c r="L141" i="4"/>
  <c r="K141" i="4"/>
  <c r="J141" i="4"/>
  <c r="I141" i="4"/>
  <c r="H141" i="4"/>
  <c r="AE140" i="4"/>
  <c r="E140" i="4" s="1"/>
  <c r="E139" i="4" s="1"/>
  <c r="AR139" i="4"/>
  <c r="AE138" i="4"/>
  <c r="AR137" i="4"/>
  <c r="AS135" i="4"/>
  <c r="AE135" i="4"/>
  <c r="R135" i="4"/>
  <c r="AS134" i="4"/>
  <c r="AS133" i="4" s="1"/>
  <c r="AE134" i="4"/>
  <c r="R134" i="4"/>
  <c r="R133" i="4" s="1"/>
  <c r="H134" i="4"/>
  <c r="BB133" i="4"/>
  <c r="AZ133" i="4"/>
  <c r="AU133" i="4"/>
  <c r="AT133" i="4"/>
  <c r="AR133" i="4"/>
  <c r="AP133" i="4"/>
  <c r="AO133" i="4"/>
  <c r="AN133" i="4"/>
  <c r="AM133" i="4"/>
  <c r="AL133" i="4"/>
  <c r="AK133" i="4"/>
  <c r="AJ133" i="4"/>
  <c r="AI133" i="4"/>
  <c r="AH133" i="4"/>
  <c r="AG133" i="4"/>
  <c r="AF133" i="4"/>
  <c r="T133" i="4"/>
  <c r="M133" i="4"/>
  <c r="L133" i="4"/>
  <c r="K133" i="4"/>
  <c r="J133" i="4"/>
  <c r="I133" i="4"/>
  <c r="AS130" i="4"/>
  <c r="AE130" i="4"/>
  <c r="R130" i="4"/>
  <c r="H130" i="4"/>
  <c r="AS129" i="4"/>
  <c r="AE129" i="4"/>
  <c r="R129" i="4"/>
  <c r="H129" i="4"/>
  <c r="AS128" i="4"/>
  <c r="AE128" i="4"/>
  <c r="R128" i="4"/>
  <c r="H128" i="4"/>
  <c r="BH127" i="4"/>
  <c r="BH123" i="4" s="1"/>
  <c r="BG127" i="4"/>
  <c r="BF127" i="4"/>
  <c r="BF123" i="4" s="1"/>
  <c r="BE127" i="4"/>
  <c r="BE123" i="4" s="1"/>
  <c r="BD127" i="4"/>
  <c r="BC127" i="4"/>
  <c r="BC123" i="4" s="1"/>
  <c r="BB127" i="4"/>
  <c r="BA127" i="4"/>
  <c r="AZ127" i="4"/>
  <c r="AX127" i="4"/>
  <c r="AV127" i="4"/>
  <c r="AW127" i="4"/>
  <c r="AU127" i="4"/>
  <c r="AT127" i="4"/>
  <c r="AR127" i="4"/>
  <c r="AP127" i="4"/>
  <c r="AO127" i="4"/>
  <c r="AN127" i="4"/>
  <c r="AM127" i="4"/>
  <c r="AL127" i="4"/>
  <c r="AK127" i="4"/>
  <c r="AJ127" i="4"/>
  <c r="AI127" i="4"/>
  <c r="AH127" i="4"/>
  <c r="AG127" i="4"/>
  <c r="AF127" i="4"/>
  <c r="T127" i="4"/>
  <c r="Q127" i="4"/>
  <c r="P127" i="4"/>
  <c r="O127" i="4"/>
  <c r="N127" i="4"/>
  <c r="M127" i="4"/>
  <c r="L127" i="4"/>
  <c r="K127" i="4"/>
  <c r="J127" i="4"/>
  <c r="I127" i="4"/>
  <c r="I123" i="4" s="1"/>
  <c r="AS126" i="4"/>
  <c r="AE126" i="4"/>
  <c r="N124" i="4"/>
  <c r="H126" i="4"/>
  <c r="AS125" i="4"/>
  <c r="AE125" i="4"/>
  <c r="R125" i="4"/>
  <c r="R124" i="4" s="1"/>
  <c r="H125" i="4"/>
  <c r="BG124" i="4"/>
  <c r="BB124" i="4"/>
  <c r="AZ124" i="4"/>
  <c r="AU124" i="4"/>
  <c r="AT124" i="4"/>
  <c r="AR124" i="4"/>
  <c r="AP124" i="4"/>
  <c r="AO124" i="4"/>
  <c r="AN124" i="4"/>
  <c r="AM124" i="4"/>
  <c r="AL124" i="4"/>
  <c r="AK124" i="4"/>
  <c r="AJ124" i="4"/>
  <c r="AI124" i="4"/>
  <c r="AH124" i="4"/>
  <c r="AG124" i="4"/>
  <c r="AF124" i="4"/>
  <c r="T124" i="4"/>
  <c r="Q124" i="4"/>
  <c r="P124" i="4"/>
  <c r="O124" i="4"/>
  <c r="M124" i="4"/>
  <c r="L124" i="4"/>
  <c r="K124" i="4"/>
  <c r="J124" i="4"/>
  <c r="AS122" i="4"/>
  <c r="AE122" i="4"/>
  <c r="R122" i="4"/>
  <c r="R121" i="4" s="1"/>
  <c r="R120" i="4" s="1"/>
  <c r="H122" i="4"/>
  <c r="BB121" i="4"/>
  <c r="BB120" i="4" s="1"/>
  <c r="AZ121" i="4"/>
  <c r="AZ120" i="4" s="1"/>
  <c r="AU121" i="4"/>
  <c r="AU120" i="4" s="1"/>
  <c r="AT121" i="4"/>
  <c r="AT120" i="4" s="1"/>
  <c r="AS121" i="4"/>
  <c r="AS120" i="4" s="1"/>
  <c r="AR121" i="4"/>
  <c r="AR120" i="4" s="1"/>
  <c r="AP121" i="4"/>
  <c r="AP120" i="4" s="1"/>
  <c r="AO121" i="4"/>
  <c r="AO120" i="4" s="1"/>
  <c r="AN121" i="4"/>
  <c r="AN120" i="4" s="1"/>
  <c r="AM121" i="4"/>
  <c r="AM120" i="4" s="1"/>
  <c r="AL121" i="4"/>
  <c r="AL120" i="4" s="1"/>
  <c r="AK121" i="4"/>
  <c r="AK120" i="4" s="1"/>
  <c r="AJ121" i="4"/>
  <c r="AJ120" i="4" s="1"/>
  <c r="AI121" i="4"/>
  <c r="AI120" i="4" s="1"/>
  <c r="AH121" i="4"/>
  <c r="AH120" i="4" s="1"/>
  <c r="AG121" i="4"/>
  <c r="AG120" i="4" s="1"/>
  <c r="AF121" i="4"/>
  <c r="T121" i="4"/>
  <c r="T120" i="4" s="1"/>
  <c r="Q121" i="4"/>
  <c r="Q120" i="4" s="1"/>
  <c r="P121" i="4"/>
  <c r="P120" i="4" s="1"/>
  <c r="O121" i="4"/>
  <c r="O120" i="4" s="1"/>
  <c r="N121" i="4"/>
  <c r="N120" i="4" s="1"/>
  <c r="L121" i="4"/>
  <c r="L120" i="4" s="1"/>
  <c r="K121" i="4"/>
  <c r="K120" i="4" s="1"/>
  <c r="J121" i="4"/>
  <c r="J120" i="4" s="1"/>
  <c r="BH120" i="4"/>
  <c r="BG120" i="4"/>
  <c r="BF120" i="4"/>
  <c r="BE120" i="4"/>
  <c r="BD120" i="4"/>
  <c r="BC120" i="4"/>
  <c r="BA120" i="4"/>
  <c r="AX120" i="4"/>
  <c r="AV120" i="4"/>
  <c r="AS118" i="4"/>
  <c r="AE118" i="4"/>
  <c r="R118" i="4"/>
  <c r="H118" i="4"/>
  <c r="AS117" i="4"/>
  <c r="AS116" i="4" s="1"/>
  <c r="AE117" i="4"/>
  <c r="R117" i="4"/>
  <c r="R116" i="4" s="1"/>
  <c r="H117" i="4"/>
  <c r="BH116" i="4"/>
  <c r="BG116" i="4"/>
  <c r="BF116" i="4"/>
  <c r="BE116" i="4"/>
  <c r="BD116" i="4"/>
  <c r="BC116" i="4"/>
  <c r="BA116" i="4"/>
  <c r="AZ116" i="4"/>
  <c r="AX116" i="4"/>
  <c r="AV116" i="4"/>
  <c r="AW116" i="4"/>
  <c r="AU116" i="4"/>
  <c r="AT116" i="4"/>
  <c r="AR116" i="4"/>
  <c r="AP116" i="4"/>
  <c r="AO116" i="4"/>
  <c r="AN116" i="4"/>
  <c r="AM116" i="4"/>
  <c r="AL116" i="4"/>
  <c r="AK116" i="4"/>
  <c r="AJ116" i="4"/>
  <c r="AH116" i="4"/>
  <c r="AG116" i="4"/>
  <c r="T116" i="4"/>
  <c r="Q116" i="4"/>
  <c r="P116" i="4"/>
  <c r="O116" i="4"/>
  <c r="N116" i="4"/>
  <c r="L116" i="4"/>
  <c r="K116" i="4"/>
  <c r="J116" i="4"/>
  <c r="AS115" i="4"/>
  <c r="AE115" i="4"/>
  <c r="R115" i="4"/>
  <c r="H115" i="4"/>
  <c r="AS114" i="4"/>
  <c r="AE114" i="4"/>
  <c r="R114" i="4"/>
  <c r="H114" i="4"/>
  <c r="AS113" i="4"/>
  <c r="AE113" i="4"/>
  <c r="R113" i="4"/>
  <c r="R112" i="4" s="1"/>
  <c r="H113" i="4"/>
  <c r="AZ112" i="4"/>
  <c r="AU112" i="4"/>
  <c r="AT112" i="4"/>
  <c r="AR112" i="4"/>
  <c r="AP112" i="4"/>
  <c r="AO112" i="4"/>
  <c r="AN112" i="4"/>
  <c r="AM112" i="4"/>
  <c r="AL112" i="4"/>
  <c r="AK112" i="4"/>
  <c r="AJ112" i="4"/>
  <c r="AH112" i="4"/>
  <c r="AG112" i="4"/>
  <c r="T112" i="4"/>
  <c r="S112" i="4" s="1"/>
  <c r="S104" i="4" s="1"/>
  <c r="Q112" i="4"/>
  <c r="P112" i="4"/>
  <c r="O112" i="4"/>
  <c r="N112" i="4"/>
  <c r="L112" i="4"/>
  <c r="K112" i="4"/>
  <c r="J112" i="4"/>
  <c r="AS111" i="4"/>
  <c r="AS110" i="4" s="1"/>
  <c r="AE111" i="4"/>
  <c r="R111" i="4"/>
  <c r="R110" i="4" s="1"/>
  <c r="H111" i="4"/>
  <c r="AZ110" i="4"/>
  <c r="AU110" i="4"/>
  <c r="AT110" i="4"/>
  <c r="AR110" i="4"/>
  <c r="AP110" i="4"/>
  <c r="AO110" i="4"/>
  <c r="AN110" i="4"/>
  <c r="AM110" i="4"/>
  <c r="AL110" i="4"/>
  <c r="AK110" i="4"/>
  <c r="AJ110" i="4"/>
  <c r="AH110" i="4"/>
  <c r="AG110" i="4"/>
  <c r="T110" i="4"/>
  <c r="Q110" i="4"/>
  <c r="P110" i="4"/>
  <c r="O110" i="4"/>
  <c r="N110" i="4"/>
  <c r="L110" i="4"/>
  <c r="K110" i="4"/>
  <c r="J110" i="4"/>
  <c r="AS109" i="4"/>
  <c r="AE109" i="4"/>
  <c r="R109" i="4"/>
  <c r="H109" i="4"/>
  <c r="AS108" i="4"/>
  <c r="AE108" i="4"/>
  <c r="R108" i="4"/>
  <c r="H108" i="4"/>
  <c r="AS107" i="4"/>
  <c r="AE107" i="4"/>
  <c r="R107" i="4"/>
  <c r="H107" i="4"/>
  <c r="AS106" i="4"/>
  <c r="AS105" i="4" s="1"/>
  <c r="AE106" i="4"/>
  <c r="AE105" i="4" s="1"/>
  <c r="R106" i="4"/>
  <c r="R105" i="4" s="1"/>
  <c r="H106" i="4"/>
  <c r="H105" i="4" s="1"/>
  <c r="BH105" i="4"/>
  <c r="BG105" i="4"/>
  <c r="BF105" i="4"/>
  <c r="BE105" i="4"/>
  <c r="BD105" i="4"/>
  <c r="BC105" i="4"/>
  <c r="BA105" i="4"/>
  <c r="AZ105" i="4"/>
  <c r="AX105" i="4"/>
  <c r="AV105" i="4"/>
  <c r="AW105" i="4"/>
  <c r="AU105" i="4"/>
  <c r="AT105" i="4"/>
  <c r="AR105" i="4"/>
  <c r="AP105" i="4"/>
  <c r="AO105" i="4"/>
  <c r="AN105" i="4"/>
  <c r="AM105" i="4"/>
  <c r="AL105" i="4"/>
  <c r="AK105" i="4"/>
  <c r="AJ105" i="4"/>
  <c r="AI105" i="4"/>
  <c r="AH105" i="4"/>
  <c r="AG105" i="4"/>
  <c r="T105" i="4"/>
  <c r="Q105" i="4"/>
  <c r="P105" i="4"/>
  <c r="O105" i="4"/>
  <c r="N105" i="4"/>
  <c r="L105" i="4"/>
  <c r="K105" i="4"/>
  <c r="J105" i="4"/>
  <c r="AS102" i="4"/>
  <c r="AI102" i="4"/>
  <c r="AI208" i="4" s="1"/>
  <c r="R102" i="4"/>
  <c r="H102" i="4"/>
  <c r="AS101" i="4"/>
  <c r="AE101" i="4"/>
  <c r="R101" i="4"/>
  <c r="H101" i="4"/>
  <c r="AS100" i="4"/>
  <c r="AE100" i="4"/>
  <c r="R100" i="4"/>
  <c r="H100" i="4"/>
  <c r="AZ99" i="4"/>
  <c r="AU99" i="4"/>
  <c r="AT99" i="4"/>
  <c r="AR99" i="4"/>
  <c r="AP99" i="4"/>
  <c r="AO99" i="4"/>
  <c r="AN99" i="4"/>
  <c r="AM99" i="4"/>
  <c r="AL99" i="4"/>
  <c r="AK99" i="4"/>
  <c r="AJ99" i="4"/>
  <c r="AI99" i="4"/>
  <c r="AH99" i="4"/>
  <c r="AG99" i="4"/>
  <c r="T99" i="4"/>
  <c r="Q99" i="4"/>
  <c r="P99" i="4"/>
  <c r="O99" i="4"/>
  <c r="L99" i="4"/>
  <c r="K99" i="4"/>
  <c r="J99" i="4"/>
  <c r="AS98" i="4"/>
  <c r="AE98" i="4"/>
  <c r="R98" i="4"/>
  <c r="H98" i="4"/>
  <c r="AS97" i="4"/>
  <c r="AE97" i="4"/>
  <c r="R97" i="4"/>
  <c r="H97" i="4"/>
  <c r="AS96" i="4"/>
  <c r="AE96" i="4"/>
  <c r="R96" i="4"/>
  <c r="H96" i="4"/>
  <c r="AS95" i="4"/>
  <c r="AE95" i="4"/>
  <c r="R95" i="4"/>
  <c r="H95" i="4"/>
  <c r="AS94" i="4"/>
  <c r="AE94" i="4"/>
  <c r="R94" i="4"/>
  <c r="H94" i="4"/>
  <c r="AS93" i="4"/>
  <c r="AE93" i="4"/>
  <c r="R93" i="4"/>
  <c r="H93" i="4"/>
  <c r="AS92" i="4"/>
  <c r="AE92" i="4"/>
  <c r="R92" i="4"/>
  <c r="H92" i="4"/>
  <c r="AS91" i="4"/>
  <c r="AS89" i="4" s="1"/>
  <c r="AE91" i="4"/>
  <c r="R91" i="4"/>
  <c r="R89" i="4" s="1"/>
  <c r="H91" i="4"/>
  <c r="BH89" i="4"/>
  <c r="BE89" i="4"/>
  <c r="BB89" i="4"/>
  <c r="AU89" i="4"/>
  <c r="AT89" i="4"/>
  <c r="AP89" i="4"/>
  <c r="AO89" i="4"/>
  <c r="AN89" i="4"/>
  <c r="AM89" i="4"/>
  <c r="AL89" i="4"/>
  <c r="AK89" i="4"/>
  <c r="AJ89" i="4"/>
  <c r="AI89" i="4"/>
  <c r="AH89" i="4"/>
  <c r="AG89" i="4"/>
  <c r="AF89" i="4"/>
  <c r="T89" i="4"/>
  <c r="Q89" i="4"/>
  <c r="P89" i="4"/>
  <c r="O89" i="4"/>
  <c r="N89" i="4"/>
  <c r="M89" i="4"/>
  <c r="M81" i="4" s="1"/>
  <c r="L89" i="4"/>
  <c r="K89" i="4"/>
  <c r="J89" i="4"/>
  <c r="AS88" i="4"/>
  <c r="AE88" i="4"/>
  <c r="R88" i="4"/>
  <c r="H88" i="4"/>
  <c r="AS87" i="4"/>
  <c r="R87" i="4"/>
  <c r="H87" i="4"/>
  <c r="AS86" i="4"/>
  <c r="AE86" i="4"/>
  <c r="R86" i="4"/>
  <c r="H86" i="4"/>
  <c r="AS85" i="4"/>
  <c r="AE85" i="4"/>
  <c r="R85" i="4"/>
  <c r="N84" i="4"/>
  <c r="H85" i="4"/>
  <c r="BF84" i="4"/>
  <c r="BD84" i="4"/>
  <c r="BD81" i="4" s="1"/>
  <c r="AZ84" i="4"/>
  <c r="AU84" i="4"/>
  <c r="AT84" i="4"/>
  <c r="AR84" i="4"/>
  <c r="AP84" i="4"/>
  <c r="AO84" i="4"/>
  <c r="AN84" i="4"/>
  <c r="AM84" i="4"/>
  <c r="AL84" i="4"/>
  <c r="AK84" i="4"/>
  <c r="AJ84" i="4"/>
  <c r="AI84" i="4"/>
  <c r="AH84" i="4"/>
  <c r="AF84" i="4"/>
  <c r="T84" i="4"/>
  <c r="Q84" i="4"/>
  <c r="P84" i="4"/>
  <c r="O84" i="4"/>
  <c r="L84" i="4"/>
  <c r="K84" i="4"/>
  <c r="J84" i="4"/>
  <c r="AS83" i="4"/>
  <c r="AS82" i="4" s="1"/>
  <c r="H83" i="4"/>
  <c r="H82" i="4" s="1"/>
  <c r="BH82" i="4"/>
  <c r="BG82" i="4"/>
  <c r="BG81" i="4" s="1"/>
  <c r="BF82" i="4"/>
  <c r="BE82" i="4"/>
  <c r="BB82" i="4"/>
  <c r="AZ82" i="4"/>
  <c r="AU82" i="4"/>
  <c r="AT82" i="4"/>
  <c r="AR82" i="4"/>
  <c r="AP82" i="4"/>
  <c r="AO82" i="4"/>
  <c r="AN82" i="4"/>
  <c r="AM82" i="4"/>
  <c r="AL82" i="4"/>
  <c r="AK82" i="4"/>
  <c r="AJ82" i="4"/>
  <c r="AI82" i="4"/>
  <c r="AH82" i="4"/>
  <c r="AG82" i="4"/>
  <c r="AF82" i="4"/>
  <c r="Q82" i="4"/>
  <c r="P82" i="4"/>
  <c r="O82" i="4"/>
  <c r="N82" i="4"/>
  <c r="L82" i="4"/>
  <c r="K82" i="4"/>
  <c r="J82" i="4"/>
  <c r="I82" i="4"/>
  <c r="BC81" i="4"/>
  <c r="BA81" i="4"/>
  <c r="AX81" i="4"/>
  <c r="AV81" i="4"/>
  <c r="AW81" i="4"/>
  <c r="AU79" i="4"/>
  <c r="BJ51" i="4" s="1"/>
  <c r="AE79" i="4"/>
  <c r="R79" i="4"/>
  <c r="AS78" i="4"/>
  <c r="AE78" i="4"/>
  <c r="R78" i="4"/>
  <c r="H78" i="4"/>
  <c r="AS77" i="4"/>
  <c r="AE77" i="4"/>
  <c r="R77" i="4"/>
  <c r="H77" i="4"/>
  <c r="AS76" i="4"/>
  <c r="AE76" i="4"/>
  <c r="R76" i="4"/>
  <c r="H76" i="4"/>
  <c r="AS75" i="4"/>
  <c r="AE75" i="4"/>
  <c r="R75" i="4"/>
  <c r="H75" i="4"/>
  <c r="AS74" i="4"/>
  <c r="AE74" i="4"/>
  <c r="R74" i="4"/>
  <c r="H74" i="4"/>
  <c r="AS73" i="4"/>
  <c r="AE73" i="4"/>
  <c r="R73" i="4"/>
  <c r="H73" i="4"/>
  <c r="AS72" i="4"/>
  <c r="AE72" i="4"/>
  <c r="R72" i="4"/>
  <c r="H72" i="4"/>
  <c r="AS71" i="4"/>
  <c r="AE71" i="4"/>
  <c r="R71" i="4"/>
  <c r="H71" i="4"/>
  <c r="AS70" i="4"/>
  <c r="AE70" i="4"/>
  <c r="R70" i="4"/>
  <c r="H70" i="4"/>
  <c r="AS68" i="4"/>
  <c r="AE68" i="4"/>
  <c r="R68" i="4"/>
  <c r="H68" i="4"/>
  <c r="AS67" i="4"/>
  <c r="AE67" i="4"/>
  <c r="R67" i="4"/>
  <c r="H67" i="4"/>
  <c r="AS66" i="4"/>
  <c r="AE66" i="4"/>
  <c r="R66" i="4"/>
  <c r="H66" i="4"/>
  <c r="AS65" i="4"/>
  <c r="AE65" i="4"/>
  <c r="R65" i="4"/>
  <c r="H65" i="4"/>
  <c r="AS64" i="4"/>
  <c r="AE64" i="4"/>
  <c r="R64" i="4"/>
  <c r="H64" i="4"/>
  <c r="AS63" i="4"/>
  <c r="AE63" i="4"/>
  <c r="R63" i="4"/>
  <c r="H63" i="4"/>
  <c r="AS62" i="4"/>
  <c r="AE62" i="4"/>
  <c r="R62" i="4"/>
  <c r="H62" i="4"/>
  <c r="AS61" i="4"/>
  <c r="AE61" i="4"/>
  <c r="R61" i="4"/>
  <c r="H61" i="4"/>
  <c r="AS60" i="4"/>
  <c r="AE60" i="4"/>
  <c r="R60" i="4"/>
  <c r="H60" i="4"/>
  <c r="BH59" i="4"/>
  <c r="BF59" i="4"/>
  <c r="BE59" i="4"/>
  <c r="BB59" i="4"/>
  <c r="AZ59" i="4"/>
  <c r="AU59" i="4"/>
  <c r="AT59" i="4"/>
  <c r="AR59" i="4"/>
  <c r="AP59" i="4"/>
  <c r="AO59" i="4"/>
  <c r="AN59" i="4"/>
  <c r="AM59" i="4"/>
  <c r="AL59" i="4"/>
  <c r="AK59" i="4"/>
  <c r="AJ59" i="4"/>
  <c r="AI59" i="4"/>
  <c r="AH59" i="4"/>
  <c r="AG59" i="4"/>
  <c r="AF59" i="4"/>
  <c r="T59" i="4"/>
  <c r="Q59" i="4"/>
  <c r="P59" i="4"/>
  <c r="O59" i="4"/>
  <c r="N59" i="4"/>
  <c r="L59" i="4"/>
  <c r="K59" i="4"/>
  <c r="J59" i="4"/>
  <c r="I59" i="4"/>
  <c r="AS58" i="4"/>
  <c r="AE58" i="4"/>
  <c r="AS55" i="4"/>
  <c r="AS54" i="4" s="1"/>
  <c r="AE55" i="4"/>
  <c r="H55" i="4"/>
  <c r="BH54" i="4"/>
  <c r="BE54" i="4"/>
  <c r="BB54" i="4"/>
  <c r="AZ54" i="4"/>
  <c r="AX54" i="4"/>
  <c r="AV54" i="4"/>
  <c r="AW54" i="4"/>
  <c r="AR54" i="4"/>
  <c r="AP54" i="4"/>
  <c r="AO54" i="4"/>
  <c r="AN54" i="4"/>
  <c r="AM54" i="4"/>
  <c r="AL54" i="4"/>
  <c r="AK54" i="4"/>
  <c r="AJ54" i="4"/>
  <c r="AI54" i="4"/>
  <c r="AH54" i="4"/>
  <c r="AG54" i="4"/>
  <c r="AF54" i="4"/>
  <c r="S48" i="4"/>
  <c r="T54" i="4"/>
  <c r="P54" i="4"/>
  <c r="O54" i="4"/>
  <c r="N54" i="4"/>
  <c r="L54" i="4"/>
  <c r="K54" i="4"/>
  <c r="J54" i="4"/>
  <c r="I54" i="4"/>
  <c r="AE51" i="4"/>
  <c r="AU50" i="4"/>
  <c r="AE50" i="4"/>
  <c r="R50" i="4"/>
  <c r="H50" i="4"/>
  <c r="AS52" i="4"/>
  <c r="AE52" i="4"/>
  <c r="R52" i="4"/>
  <c r="H52" i="4"/>
  <c r="BH49" i="4"/>
  <c r="BF49" i="4"/>
  <c r="BB49" i="4"/>
  <c r="AZ49" i="4"/>
  <c r="AX49" i="4"/>
  <c r="AV49" i="4"/>
  <c r="AW49" i="4"/>
  <c r="AT49" i="4"/>
  <c r="AR49" i="4"/>
  <c r="AP49" i="4"/>
  <c r="AO49" i="4"/>
  <c r="AN49" i="4"/>
  <c r="AM49" i="4"/>
  <c r="AL49" i="4"/>
  <c r="AK49" i="4"/>
  <c r="AJ49" i="4"/>
  <c r="AI49" i="4"/>
  <c r="AH49" i="4"/>
  <c r="AG49" i="4"/>
  <c r="AF49" i="4"/>
  <c r="Q49" i="4"/>
  <c r="P49" i="4"/>
  <c r="O49" i="4"/>
  <c r="N49" i="4"/>
  <c r="L49" i="4"/>
  <c r="K49" i="4"/>
  <c r="J49" i="4"/>
  <c r="I49" i="4"/>
  <c r="BG48" i="4"/>
  <c r="AE47" i="4"/>
  <c r="R47" i="4"/>
  <c r="E47" i="4" s="1"/>
  <c r="AS46" i="4"/>
  <c r="AS45" i="4" s="1"/>
  <c r="AS44" i="4" s="1"/>
  <c r="AE46" i="4"/>
  <c r="R46" i="4"/>
  <c r="H46" i="4"/>
  <c r="H45" i="4" s="1"/>
  <c r="H44" i="4" s="1"/>
  <c r="BB45" i="4"/>
  <c r="BB44" i="4" s="1"/>
  <c r="AZ45" i="4"/>
  <c r="AZ44" i="4" s="1"/>
  <c r="AU45" i="4"/>
  <c r="AU44" i="4" s="1"/>
  <c r="AT45" i="4"/>
  <c r="AT44" i="4" s="1"/>
  <c r="AR45" i="4"/>
  <c r="AR44" i="4" s="1"/>
  <c r="AP45" i="4"/>
  <c r="AP44" i="4" s="1"/>
  <c r="AO45" i="4"/>
  <c r="AO44" i="4" s="1"/>
  <c r="AN45" i="4"/>
  <c r="AN44" i="4" s="1"/>
  <c r="AM45" i="4"/>
  <c r="AM44" i="4" s="1"/>
  <c r="AL45" i="4"/>
  <c r="AL44" i="4" s="1"/>
  <c r="AK45" i="4"/>
  <c r="AK44" i="4" s="1"/>
  <c r="AJ45" i="4"/>
  <c r="AJ44" i="4" s="1"/>
  <c r="AI45" i="4"/>
  <c r="AI44" i="4" s="1"/>
  <c r="AH45" i="4"/>
  <c r="AH44" i="4" s="1"/>
  <c r="AG45" i="4"/>
  <c r="AG44" i="4" s="1"/>
  <c r="AF45" i="4"/>
  <c r="R45" i="4"/>
  <c r="R44" i="4" s="1"/>
  <c r="P45" i="4"/>
  <c r="P44" i="4" s="1"/>
  <c r="O45" i="4"/>
  <c r="N45" i="4"/>
  <c r="N44" i="4" s="1"/>
  <c r="L45" i="4"/>
  <c r="L44" i="4" s="1"/>
  <c r="K45" i="4"/>
  <c r="J45" i="4"/>
  <c r="J44" i="4" s="1"/>
  <c r="I45" i="4"/>
  <c r="I44" i="4" s="1"/>
  <c r="T44" i="4"/>
  <c r="Q44" i="4"/>
  <c r="O44" i="4"/>
  <c r="K44" i="4"/>
  <c r="AS41" i="4"/>
  <c r="AS39" i="4" s="1"/>
  <c r="AE42" i="4"/>
  <c r="R42" i="4"/>
  <c r="R41" i="4" s="1"/>
  <c r="R39" i="4" s="1"/>
  <c r="H42" i="4"/>
  <c r="H41" i="4" s="1"/>
  <c r="H39" i="4" s="1"/>
  <c r="BB41" i="4"/>
  <c r="BB39" i="4" s="1"/>
  <c r="AZ41" i="4"/>
  <c r="AZ39" i="4" s="1"/>
  <c r="AU41" i="4"/>
  <c r="AU39" i="4" s="1"/>
  <c r="AT41" i="4"/>
  <c r="AT39" i="4" s="1"/>
  <c r="AR41" i="4"/>
  <c r="AR39" i="4" s="1"/>
  <c r="AP41" i="4"/>
  <c r="AP39" i="4" s="1"/>
  <c r="AO41" i="4"/>
  <c r="AO39" i="4" s="1"/>
  <c r="AN41" i="4"/>
  <c r="AN39" i="4" s="1"/>
  <c r="AM41" i="4"/>
  <c r="AM39" i="4" s="1"/>
  <c r="AL41" i="4"/>
  <c r="AL39" i="4" s="1"/>
  <c r="AK41" i="4"/>
  <c r="AK39" i="4" s="1"/>
  <c r="AJ41" i="4"/>
  <c r="AJ39" i="4" s="1"/>
  <c r="AI41" i="4"/>
  <c r="AI39" i="4" s="1"/>
  <c r="AH41" i="4"/>
  <c r="AH39" i="4" s="1"/>
  <c r="AG41" i="4"/>
  <c r="AG39" i="4" s="1"/>
  <c r="AF41" i="4"/>
  <c r="AF39" i="4" s="1"/>
  <c r="T41" i="4"/>
  <c r="T39" i="4" s="1"/>
  <c r="Q41" i="4"/>
  <c r="Q39" i="4" s="1"/>
  <c r="P41" i="4"/>
  <c r="P39" i="4" s="1"/>
  <c r="O41" i="4"/>
  <c r="O39" i="4" s="1"/>
  <c r="N41" i="4"/>
  <c r="N39" i="4" s="1"/>
  <c r="L41" i="4"/>
  <c r="L39" i="4" s="1"/>
  <c r="K41" i="4"/>
  <c r="K39" i="4" s="1"/>
  <c r="J41" i="4"/>
  <c r="J39" i="4" s="1"/>
  <c r="I41" i="4"/>
  <c r="I39" i="4" s="1"/>
  <c r="AS36" i="4"/>
  <c r="AS34" i="4" s="1"/>
  <c r="AE37" i="4"/>
  <c r="R37" i="4"/>
  <c r="R36" i="4" s="1"/>
  <c r="R34" i="4" s="1"/>
  <c r="P36" i="4"/>
  <c r="P34" i="4" s="1"/>
  <c r="H37" i="4"/>
  <c r="H36" i="4" s="1"/>
  <c r="H34" i="4" s="1"/>
  <c r="BH36" i="4"/>
  <c r="BH34" i="4" s="1"/>
  <c r="BG36" i="4"/>
  <c r="BG34" i="4" s="1"/>
  <c r="BF36" i="4"/>
  <c r="BF34" i="4" s="1"/>
  <c r="BE36" i="4"/>
  <c r="BE34" i="4" s="1"/>
  <c r="BB36" i="4"/>
  <c r="BB34" i="4" s="1"/>
  <c r="AZ36" i="4"/>
  <c r="AZ34" i="4" s="1"/>
  <c r="AU36" i="4"/>
  <c r="AU34" i="4" s="1"/>
  <c r="AT36" i="4"/>
  <c r="AT34" i="4" s="1"/>
  <c r="AR36" i="4"/>
  <c r="AR34" i="4" s="1"/>
  <c r="AP36" i="4"/>
  <c r="AP34" i="4" s="1"/>
  <c r="AO36" i="4"/>
  <c r="AO34" i="4" s="1"/>
  <c r="AN36" i="4"/>
  <c r="AN34" i="4" s="1"/>
  <c r="AM36" i="4"/>
  <c r="AM34" i="4" s="1"/>
  <c r="AL36" i="4"/>
  <c r="AL34" i="4" s="1"/>
  <c r="AK36" i="4"/>
  <c r="AK34" i="4" s="1"/>
  <c r="AJ36" i="4"/>
  <c r="AJ34" i="4" s="1"/>
  <c r="AI36" i="4"/>
  <c r="AI34" i="4" s="1"/>
  <c r="AH36" i="4"/>
  <c r="AH34" i="4" s="1"/>
  <c r="AG36" i="4"/>
  <c r="AG34" i="4" s="1"/>
  <c r="AF36" i="4"/>
  <c r="AF34" i="4" s="1"/>
  <c r="T36" i="4"/>
  <c r="T34" i="4" s="1"/>
  <c r="Q36" i="4"/>
  <c r="Q34" i="4" s="1"/>
  <c r="O36" i="4"/>
  <c r="O34" i="4" s="1"/>
  <c r="N36" i="4"/>
  <c r="N34" i="4" s="1"/>
  <c r="L36" i="4"/>
  <c r="L34" i="4" s="1"/>
  <c r="K36" i="4"/>
  <c r="K34" i="4" s="1"/>
  <c r="J36" i="4"/>
  <c r="J34" i="4" s="1"/>
  <c r="I36" i="4"/>
  <c r="I34" i="4" s="1"/>
  <c r="AS33" i="4"/>
  <c r="AE33" i="4"/>
  <c r="R33" i="4"/>
  <c r="H33" i="4"/>
  <c r="BH31" i="4"/>
  <c r="BG31" i="4"/>
  <c r="BF31" i="4"/>
  <c r="BB31" i="4"/>
  <c r="AZ31" i="4"/>
  <c r="AX31" i="4"/>
  <c r="AU31" i="4"/>
  <c r="AT31" i="4"/>
  <c r="AR31" i="4"/>
  <c r="AP31" i="4"/>
  <c r="AO31" i="4"/>
  <c r="AN31" i="4"/>
  <c r="AM31" i="4"/>
  <c r="AL31" i="4"/>
  <c r="AK31" i="4"/>
  <c r="AJ31" i="4"/>
  <c r="AI31" i="4"/>
  <c r="AH31" i="4"/>
  <c r="AG31" i="4"/>
  <c r="AF31" i="4"/>
  <c r="T31" i="4"/>
  <c r="AS30" i="4"/>
  <c r="AE30" i="4"/>
  <c r="R30" i="4"/>
  <c r="H30" i="4"/>
  <c r="AS29" i="4"/>
  <c r="AE29" i="4"/>
  <c r="R29" i="4"/>
  <c r="H29" i="4"/>
  <c r="AE28" i="4"/>
  <c r="R28" i="4"/>
  <c r="H28" i="4"/>
  <c r="AS27" i="4"/>
  <c r="AE27" i="4"/>
  <c r="R27" i="4"/>
  <c r="H27" i="4"/>
  <c r="AS26" i="4"/>
  <c r="AE26" i="4"/>
  <c r="R26" i="4"/>
  <c r="H26" i="4"/>
  <c r="AS25" i="4"/>
  <c r="AE25" i="4"/>
  <c r="R25" i="4"/>
  <c r="H25" i="4"/>
  <c r="AS24" i="4"/>
  <c r="AE24" i="4"/>
  <c r="R24" i="4"/>
  <c r="H24" i="4"/>
  <c r="AS23" i="4"/>
  <c r="AE23" i="4"/>
  <c r="AS22" i="4"/>
  <c r="AE22" i="4"/>
  <c r="R22" i="4"/>
  <c r="H22" i="4"/>
  <c r="BH20" i="4"/>
  <c r="BG20" i="4"/>
  <c r="BF20" i="4"/>
  <c r="BE20" i="4"/>
  <c r="BD20" i="4"/>
  <c r="BD17" i="4" s="1"/>
  <c r="BC20" i="4"/>
  <c r="BC17" i="4" s="1"/>
  <c r="BB20" i="4"/>
  <c r="BA20" i="4"/>
  <c r="BA17" i="4" s="1"/>
  <c r="AZ20" i="4"/>
  <c r="AX20" i="4"/>
  <c r="AX17" i="4" s="1"/>
  <c r="AV20" i="4"/>
  <c r="AV17" i="4" s="1"/>
  <c r="AW20" i="4"/>
  <c r="AW17" i="4" s="1"/>
  <c r="AU20" i="4"/>
  <c r="AT20" i="4"/>
  <c r="AR20" i="4"/>
  <c r="AP20" i="4"/>
  <c r="AO20" i="4"/>
  <c r="AN20" i="4"/>
  <c r="AM20" i="4"/>
  <c r="AL20" i="4"/>
  <c r="AK20" i="4"/>
  <c r="AJ20" i="4"/>
  <c r="AI20" i="4"/>
  <c r="AH20" i="4"/>
  <c r="AG20" i="4"/>
  <c r="AF20" i="4"/>
  <c r="T20" i="4"/>
  <c r="BB208" i="4"/>
  <c r="AS18" i="4"/>
  <c r="AE19" i="4"/>
  <c r="R18" i="4"/>
  <c r="H19" i="4"/>
  <c r="D19" i="4" s="1"/>
  <c r="BH18" i="4"/>
  <c r="BG18" i="4"/>
  <c r="BF18" i="4"/>
  <c r="BE18" i="4"/>
  <c r="BB18" i="4"/>
  <c r="AZ18" i="4"/>
  <c r="AU18" i="4"/>
  <c r="AT18" i="4"/>
  <c r="AR18" i="4"/>
  <c r="AP18" i="4"/>
  <c r="AO18" i="4"/>
  <c r="AN18" i="4"/>
  <c r="AM18" i="4"/>
  <c r="AL18" i="4"/>
  <c r="AK18" i="4"/>
  <c r="AJ18" i="4"/>
  <c r="AI18" i="4"/>
  <c r="AH18" i="4"/>
  <c r="AG18" i="4"/>
  <c r="AF18" i="4"/>
  <c r="T18" i="4"/>
  <c r="Q18" i="4"/>
  <c r="P18" i="4"/>
  <c r="O18" i="4"/>
  <c r="N18" i="4"/>
  <c r="M18" i="4"/>
  <c r="L18" i="4"/>
  <c r="K18" i="4"/>
  <c r="J18" i="4"/>
  <c r="I18" i="4"/>
  <c r="I167" i="4" l="1"/>
  <c r="K167" i="4"/>
  <c r="M167" i="4"/>
  <c r="O167" i="4"/>
  <c r="Q167" i="4"/>
  <c r="P123" i="4"/>
  <c r="BB217" i="4"/>
  <c r="E23" i="4"/>
  <c r="D22" i="4"/>
  <c r="D27" i="4"/>
  <c r="D28" i="4"/>
  <c r="D26" i="4"/>
  <c r="D25" i="4"/>
  <c r="D87" i="4"/>
  <c r="BC217" i="4"/>
  <c r="BE217" i="4"/>
  <c r="D24" i="4"/>
  <c r="D29" i="4"/>
  <c r="D30" i="4"/>
  <c r="T214" i="4"/>
  <c r="AH217" i="4"/>
  <c r="AX217" i="4"/>
  <c r="BA217" i="4"/>
  <c r="BD217" i="4"/>
  <c r="AR217" i="4"/>
  <c r="E170" i="4"/>
  <c r="D170" i="4"/>
  <c r="AO17" i="4"/>
  <c r="AU17" i="4"/>
  <c r="BF17" i="4"/>
  <c r="BH17" i="4"/>
  <c r="T167" i="4"/>
  <c r="T217" i="4" s="1"/>
  <c r="D130" i="4"/>
  <c r="AT17" i="4"/>
  <c r="BE17" i="4"/>
  <c r="AE121" i="4"/>
  <c r="AE120" i="4" s="1"/>
  <c r="O123" i="4"/>
  <c r="Q123" i="4"/>
  <c r="J167" i="4"/>
  <c r="L167" i="4"/>
  <c r="N167" i="4"/>
  <c r="P167" i="4"/>
  <c r="D163" i="4"/>
  <c r="E163" i="4"/>
  <c r="E160" i="4"/>
  <c r="BG17" i="4"/>
  <c r="AE54" i="4"/>
  <c r="D72" i="4"/>
  <c r="BB17" i="4"/>
  <c r="D65" i="4"/>
  <c r="BG123" i="4"/>
  <c r="E42" i="4"/>
  <c r="E41" i="4" s="1"/>
  <c r="E39" i="4" s="1"/>
  <c r="D42" i="4"/>
  <c r="D41" i="4" s="1"/>
  <c r="D39" i="4" s="1"/>
  <c r="E76" i="4"/>
  <c r="E94" i="4"/>
  <c r="D126" i="4"/>
  <c r="AE185" i="4"/>
  <c r="D33" i="4"/>
  <c r="AE49" i="4"/>
  <c r="E62" i="4"/>
  <c r="E64" i="4"/>
  <c r="AE84" i="4"/>
  <c r="AS124" i="4"/>
  <c r="E129" i="4"/>
  <c r="E130" i="4"/>
  <c r="E100" i="4"/>
  <c r="D100" i="4"/>
  <c r="D203" i="4"/>
  <c r="E203" i="4"/>
  <c r="D149" i="4"/>
  <c r="E71" i="4"/>
  <c r="BA136" i="4"/>
  <c r="E138" i="4"/>
  <c r="E137" i="4" s="1"/>
  <c r="BE136" i="4"/>
  <c r="AW48" i="4"/>
  <c r="AX48" i="4"/>
  <c r="AZ48" i="4"/>
  <c r="BE48" i="4"/>
  <c r="BH48" i="4"/>
  <c r="BF48" i="4"/>
  <c r="AS84" i="4"/>
  <c r="N145" i="4"/>
  <c r="AK145" i="4"/>
  <c r="E151" i="4"/>
  <c r="AE174" i="4"/>
  <c r="AI167" i="4"/>
  <c r="AI217" i="4" s="1"/>
  <c r="AK167" i="4"/>
  <c r="AK217" i="4" s="1"/>
  <c r="AM167" i="4"/>
  <c r="AM217" i="4" s="1"/>
  <c r="AO167" i="4"/>
  <c r="AO217" i="4" s="1"/>
  <c r="AR167" i="4"/>
  <c r="AU167" i="4"/>
  <c r="AU136" i="4" s="1"/>
  <c r="AV167" i="4"/>
  <c r="AV136" i="4" s="1"/>
  <c r="AZ167" i="4"/>
  <c r="AZ217" i="4" s="1"/>
  <c r="AT167" i="4"/>
  <c r="AT217" i="4" s="1"/>
  <c r="AU208" i="4"/>
  <c r="AU217" i="4" s="1"/>
  <c r="AS50" i="4"/>
  <c r="AS49" i="4" s="1"/>
  <c r="AU49" i="4"/>
  <c r="AU48" i="4" s="1"/>
  <c r="BB123" i="4"/>
  <c r="E30" i="4"/>
  <c r="D50" i="4"/>
  <c r="E37" i="4"/>
  <c r="E36" i="4" s="1"/>
  <c r="E34" i="4" s="1"/>
  <c r="E46" i="4"/>
  <c r="E45" i="4" s="1"/>
  <c r="E44" i="4" s="1"/>
  <c r="AG48" i="4"/>
  <c r="AI48" i="4"/>
  <c r="AK48" i="4"/>
  <c r="AM48" i="4"/>
  <c r="AO48" i="4"/>
  <c r="AR48" i="4"/>
  <c r="AV48" i="4"/>
  <c r="BB48" i="4"/>
  <c r="R49" i="4"/>
  <c r="E77" i="4"/>
  <c r="BF81" i="4"/>
  <c r="BH81" i="4"/>
  <c r="E85" i="4"/>
  <c r="R84" i="4"/>
  <c r="E91" i="4"/>
  <c r="E92" i="4"/>
  <c r="E93" i="4"/>
  <c r="E95" i="4"/>
  <c r="E96" i="4"/>
  <c r="E97" i="4"/>
  <c r="E153" i="4"/>
  <c r="E155" i="4"/>
  <c r="J145" i="4"/>
  <c r="L145" i="4"/>
  <c r="L136" i="4" s="1"/>
  <c r="P145" i="4"/>
  <c r="T145" i="4"/>
  <c r="T136" i="4" s="1"/>
  <c r="AG145" i="4"/>
  <c r="AI145" i="4"/>
  <c r="AM145" i="4"/>
  <c r="AO145" i="4"/>
  <c r="E161" i="4"/>
  <c r="E162" i="4"/>
  <c r="E202" i="4"/>
  <c r="BD136" i="4"/>
  <c r="E164" i="4"/>
  <c r="D101" i="4"/>
  <c r="AS99" i="4"/>
  <c r="D52" i="4"/>
  <c r="E52" i="4"/>
  <c r="E51" i="4"/>
  <c r="D51" i="4"/>
  <c r="E61" i="4"/>
  <c r="D61" i="4"/>
  <c r="D63" i="4"/>
  <c r="E63" i="4"/>
  <c r="D70" i="4"/>
  <c r="E70" i="4"/>
  <c r="D122" i="4"/>
  <c r="D121" i="4" s="1"/>
  <c r="D120" i="4" s="1"/>
  <c r="E122" i="4"/>
  <c r="E121" i="4" s="1"/>
  <c r="E120" i="4" s="1"/>
  <c r="E126" i="4"/>
  <c r="D128" i="4"/>
  <c r="E128" i="4"/>
  <c r="E152" i="4"/>
  <c r="D152" i="4"/>
  <c r="D156" i="4"/>
  <c r="E156" i="4"/>
  <c r="D175" i="4"/>
  <c r="E175" i="4"/>
  <c r="D176" i="4"/>
  <c r="E176" i="4"/>
  <c r="D178" i="4"/>
  <c r="E178" i="4"/>
  <c r="D180" i="4"/>
  <c r="E180" i="4"/>
  <c r="D182" i="4"/>
  <c r="E182" i="4"/>
  <c r="D188" i="4"/>
  <c r="E188" i="4"/>
  <c r="D190" i="4"/>
  <c r="E190" i="4"/>
  <c r="D192" i="4"/>
  <c r="E192" i="4"/>
  <c r="D194" i="4"/>
  <c r="E194" i="4"/>
  <c r="D196" i="4"/>
  <c r="E196" i="4"/>
  <c r="D198" i="4"/>
  <c r="E198" i="4"/>
  <c r="AZ17" i="4"/>
  <c r="H18" i="4"/>
  <c r="D18" i="4"/>
  <c r="E19" i="4"/>
  <c r="AG17" i="4"/>
  <c r="AK17" i="4"/>
  <c r="E22" i="4"/>
  <c r="E24" i="4"/>
  <c r="E25" i="4"/>
  <c r="E26" i="4"/>
  <c r="E27" i="4"/>
  <c r="E28" i="4"/>
  <c r="E29" i="4"/>
  <c r="AS20" i="4"/>
  <c r="AS17" i="4" s="1"/>
  <c r="E33" i="4"/>
  <c r="AE34" i="4"/>
  <c r="AE36" i="4"/>
  <c r="D37" i="4"/>
  <c r="D36" i="4" s="1"/>
  <c r="D34" i="4" s="1"/>
  <c r="AE39" i="4"/>
  <c r="AE41" i="4"/>
  <c r="AE45" i="4"/>
  <c r="D46" i="4"/>
  <c r="D45" i="4" s="1"/>
  <c r="D44" i="4" s="1"/>
  <c r="H54" i="4"/>
  <c r="E55" i="4"/>
  <c r="D76" i="4"/>
  <c r="D78" i="4"/>
  <c r="E78" i="4"/>
  <c r="AS79" i="4"/>
  <c r="E87" i="4"/>
  <c r="D88" i="4"/>
  <c r="D222" i="4" s="1"/>
  <c r="G222" i="4" s="1"/>
  <c r="E88" i="4"/>
  <c r="D98" i="4"/>
  <c r="E98" i="4"/>
  <c r="H99" i="4"/>
  <c r="E135" i="4"/>
  <c r="D135" i="4"/>
  <c r="E150" i="4"/>
  <c r="D150" i="4"/>
  <c r="AF167" i="4"/>
  <c r="E168" i="4"/>
  <c r="D168" i="4"/>
  <c r="D169" i="4"/>
  <c r="E169" i="4"/>
  <c r="D173" i="4"/>
  <c r="E173" i="4"/>
  <c r="E201" i="4"/>
  <c r="D201" i="4"/>
  <c r="E58" i="4"/>
  <c r="E60" i="4"/>
  <c r="E65" i="4"/>
  <c r="E66" i="4"/>
  <c r="D67" i="4"/>
  <c r="E67" i="4"/>
  <c r="E68" i="4"/>
  <c r="E72" i="4"/>
  <c r="E73" i="4"/>
  <c r="D74" i="4"/>
  <c r="E74" i="4"/>
  <c r="E75" i="4"/>
  <c r="AI81" i="4"/>
  <c r="AM81" i="4"/>
  <c r="E86" i="4"/>
  <c r="BE81" i="4"/>
  <c r="E101" i="4"/>
  <c r="E102" i="4"/>
  <c r="E106" i="4"/>
  <c r="E107" i="4"/>
  <c r="E108" i="4"/>
  <c r="E109" i="4"/>
  <c r="D111" i="4"/>
  <c r="D110" i="4" s="1"/>
  <c r="E111" i="4"/>
  <c r="E110" i="4" s="1"/>
  <c r="D113" i="4"/>
  <c r="E113" i="4"/>
  <c r="D114" i="4"/>
  <c r="E114" i="4"/>
  <c r="D115" i="4"/>
  <c r="E115" i="4"/>
  <c r="D117" i="4"/>
  <c r="E117" i="4"/>
  <c r="E118" i="4"/>
  <c r="AO123" i="4"/>
  <c r="AT123" i="4"/>
  <c r="E125" i="4"/>
  <c r="AE133" i="4"/>
  <c r="E134" i="4"/>
  <c r="E133" i="4" s="1"/>
  <c r="S136" i="4"/>
  <c r="D148" i="4"/>
  <c r="E148" i="4"/>
  <c r="E149" i="4"/>
  <c r="R146" i="4"/>
  <c r="D157" i="4"/>
  <c r="E157" i="4"/>
  <c r="AF145" i="4"/>
  <c r="AT145" i="4"/>
  <c r="AT136" i="4" s="1"/>
  <c r="AZ145" i="4"/>
  <c r="BB145" i="4"/>
  <c r="BF145" i="4"/>
  <c r="BF136" i="4" s="1"/>
  <c r="BH145" i="4"/>
  <c r="D177" i="4"/>
  <c r="E177" i="4"/>
  <c r="D179" i="4"/>
  <c r="E179" i="4"/>
  <c r="D181" i="4"/>
  <c r="E181" i="4"/>
  <c r="D183" i="4"/>
  <c r="E183" i="4"/>
  <c r="D186" i="4"/>
  <c r="E186" i="4"/>
  <c r="D189" i="4"/>
  <c r="E189" i="4"/>
  <c r="D191" i="4"/>
  <c r="E191" i="4"/>
  <c r="D193" i="4"/>
  <c r="E193" i="4"/>
  <c r="D195" i="4"/>
  <c r="E195" i="4"/>
  <c r="D197" i="4"/>
  <c r="E197" i="4"/>
  <c r="D199" i="4"/>
  <c r="E199" i="4"/>
  <c r="E207" i="4"/>
  <c r="D140" i="4"/>
  <c r="D139" i="4" s="1"/>
  <c r="AE139" i="4"/>
  <c r="AS159" i="4"/>
  <c r="BH208" i="4"/>
  <c r="AS31" i="4"/>
  <c r="D47" i="4"/>
  <c r="D58" i="4"/>
  <c r="AF48" i="4"/>
  <c r="AH48" i="4"/>
  <c r="AE59" i="4"/>
  <c r="R59" i="4"/>
  <c r="AS59" i="4"/>
  <c r="AT81" i="4"/>
  <c r="AU81" i="4"/>
  <c r="AZ81" i="4"/>
  <c r="AF208" i="4"/>
  <c r="AE102" i="4"/>
  <c r="D102" i="4" s="1"/>
  <c r="AE99" i="4"/>
  <c r="H110" i="4"/>
  <c r="AK104" i="4"/>
  <c r="H121" i="4"/>
  <c r="H120" i="4" s="1"/>
  <c r="I145" i="4"/>
  <c r="I136" i="4" s="1"/>
  <c r="K145" i="4"/>
  <c r="M145" i="4"/>
  <c r="M136" i="4" s="1"/>
  <c r="O145" i="4"/>
  <c r="Q145" i="4"/>
  <c r="Q136" i="4" s="1"/>
  <c r="AH145" i="4"/>
  <c r="AH136" i="4" s="1"/>
  <c r="AJ145" i="4"/>
  <c r="AL145" i="4"/>
  <c r="AN145" i="4"/>
  <c r="H174" i="4"/>
  <c r="H167" i="4" s="1"/>
  <c r="R167" i="4"/>
  <c r="AG167" i="4"/>
  <c r="AG217" i="4" s="1"/>
  <c r="AJ167" i="4"/>
  <c r="AJ217" i="4" s="1"/>
  <c r="AL167" i="4"/>
  <c r="AL217" i="4" s="1"/>
  <c r="AN167" i="4"/>
  <c r="AN217" i="4" s="1"/>
  <c r="AP167" i="4"/>
  <c r="AW167" i="4"/>
  <c r="AW136" i="4" s="1"/>
  <c r="BB167" i="4"/>
  <c r="AJ48" i="4"/>
  <c r="AL48" i="4"/>
  <c r="AN48" i="4"/>
  <c r="AP48" i="4"/>
  <c r="D62" i="4"/>
  <c r="D66" i="4"/>
  <c r="D73" i="4"/>
  <c r="D77" i="4"/>
  <c r="AE82" i="4"/>
  <c r="AG81" i="4"/>
  <c r="AK81" i="4"/>
  <c r="AO81" i="4"/>
  <c r="BB81" i="4"/>
  <c r="D93" i="4"/>
  <c r="D94" i="4"/>
  <c r="D96" i="4"/>
  <c r="D97" i="4"/>
  <c r="R99" i="4"/>
  <c r="AG104" i="4"/>
  <c r="AI104" i="4"/>
  <c r="AM104" i="4"/>
  <c r="AO104" i="4"/>
  <c r="AR104" i="4"/>
  <c r="D107" i="4"/>
  <c r="D108" i="4"/>
  <c r="D109" i="4"/>
  <c r="AE112" i="4"/>
  <c r="AS112" i="4"/>
  <c r="AS104" i="4" s="1"/>
  <c r="AU123" i="4"/>
  <c r="AI123" i="4"/>
  <c r="AK123" i="4"/>
  <c r="AM123" i="4"/>
  <c r="D151" i="4"/>
  <c r="D153" i="4"/>
  <c r="D155" i="4"/>
  <c r="D162" i="4"/>
  <c r="D164" i="4"/>
  <c r="AX136" i="4"/>
  <c r="O48" i="4"/>
  <c r="W17" i="4"/>
  <c r="W209" i="4" s="1"/>
  <c r="AT48" i="4"/>
  <c r="J104" i="4"/>
  <c r="L104" i="4"/>
  <c r="N104" i="4"/>
  <c r="P104" i="4"/>
  <c r="AT104" i="4"/>
  <c r="AW104" i="4"/>
  <c r="AX104" i="4"/>
  <c r="BD104" i="4"/>
  <c r="BF104" i="4"/>
  <c r="BH104" i="4"/>
  <c r="R104" i="4"/>
  <c r="Q104" i="4"/>
  <c r="AV104" i="4"/>
  <c r="BA104" i="4"/>
  <c r="BC104" i="4"/>
  <c r="BE104" i="4"/>
  <c r="BG104" i="4"/>
  <c r="AC17" i="4"/>
  <c r="AC209" i="4" s="1"/>
  <c r="I48" i="4"/>
  <c r="K48" i="4"/>
  <c r="Q48" i="4"/>
  <c r="T17" i="4"/>
  <c r="AA17" i="4"/>
  <c r="AA209" i="4" s="1"/>
  <c r="AI17" i="4"/>
  <c r="AM17" i="4"/>
  <c r="AR17" i="4"/>
  <c r="T48" i="4"/>
  <c r="J81" i="4"/>
  <c r="P81" i="4"/>
  <c r="K123" i="4"/>
  <c r="M123" i="4"/>
  <c r="AH123" i="4"/>
  <c r="AJ123" i="4"/>
  <c r="AL123" i="4"/>
  <c r="AN123" i="4"/>
  <c r="AP123" i="4"/>
  <c r="L123" i="4"/>
  <c r="R141" i="4"/>
  <c r="AF120" i="4"/>
  <c r="BC136" i="4"/>
  <c r="BG136" i="4"/>
  <c r="Y17" i="4"/>
  <c r="AB17" i="4"/>
  <c r="J48" i="4"/>
  <c r="L48" i="4"/>
  <c r="N48" i="4"/>
  <c r="P48" i="4"/>
  <c r="O81" i="4"/>
  <c r="Q81" i="4"/>
  <c r="AU104" i="4"/>
  <c r="AZ104" i="4"/>
  <c r="J123" i="4"/>
  <c r="T123" i="4"/>
  <c r="AG123" i="4"/>
  <c r="AR123" i="4"/>
  <c r="N123" i="4"/>
  <c r="AS200" i="4"/>
  <c r="D200" i="4" s="1"/>
  <c r="D202" i="4"/>
  <c r="AS174" i="4"/>
  <c r="AZ123" i="4"/>
  <c r="AS127" i="4"/>
  <c r="D71" i="4"/>
  <c r="D75" i="4"/>
  <c r="D60" i="4"/>
  <c r="D64" i="4"/>
  <c r="D68" i="4"/>
  <c r="AE18" i="4"/>
  <c r="AF17" i="4"/>
  <c r="AH17" i="4"/>
  <c r="AJ17" i="4"/>
  <c r="AL17" i="4"/>
  <c r="AN17" i="4"/>
  <c r="AP17" i="4"/>
  <c r="AE20" i="4"/>
  <c r="AE31" i="4"/>
  <c r="D85" i="4"/>
  <c r="AH81" i="4"/>
  <c r="AJ81" i="4"/>
  <c r="AL81" i="4"/>
  <c r="AN81" i="4"/>
  <c r="AP81" i="4"/>
  <c r="AH104" i="4"/>
  <c r="AJ104" i="4"/>
  <c r="AL104" i="4"/>
  <c r="AN104" i="4"/>
  <c r="AP104" i="4"/>
  <c r="AE116" i="4"/>
  <c r="AE127" i="4"/>
  <c r="AR145" i="4"/>
  <c r="AE159" i="4"/>
  <c r="D160" i="4"/>
  <c r="D161" i="4"/>
  <c r="R159" i="4"/>
  <c r="D134" i="4"/>
  <c r="D133" i="4" s="1"/>
  <c r="D106" i="4"/>
  <c r="D91" i="4"/>
  <c r="D92" i="4"/>
  <c r="D86" i="4"/>
  <c r="L81" i="4"/>
  <c r="N81" i="4"/>
  <c r="I81" i="4"/>
  <c r="K81" i="4"/>
  <c r="D95" i="4"/>
  <c r="K104" i="4"/>
  <c r="O104" i="4"/>
  <c r="AE110" i="4"/>
  <c r="D118" i="4"/>
  <c r="H116" i="4"/>
  <c r="D125" i="4"/>
  <c r="H124" i="4"/>
  <c r="D129" i="4"/>
  <c r="H127" i="4"/>
  <c r="AE142" i="4"/>
  <c r="D142" i="4" s="1"/>
  <c r="D141" i="4" s="1"/>
  <c r="AR141" i="4"/>
  <c r="D144" i="4"/>
  <c r="D143" i="4" s="1"/>
  <c r="AE143" i="4"/>
  <c r="AP208" i="4"/>
  <c r="AE154" i="4"/>
  <c r="D154" i="4" s="1"/>
  <c r="AE146" i="4"/>
  <c r="D187" i="4"/>
  <c r="AS185" i="4"/>
  <c r="AF44" i="4"/>
  <c r="AE44" i="4" s="1"/>
  <c r="H59" i="4"/>
  <c r="T82" i="4"/>
  <c r="T81" i="4" s="1"/>
  <c r="R83" i="4"/>
  <c r="R82" i="4" s="1"/>
  <c r="AE83" i="4"/>
  <c r="H84" i="4"/>
  <c r="H89" i="4"/>
  <c r="AR89" i="4"/>
  <c r="AR81" i="4" s="1"/>
  <c r="T104" i="4"/>
  <c r="H112" i="4"/>
  <c r="AE124" i="4"/>
  <c r="AF123" i="4"/>
  <c r="R127" i="4"/>
  <c r="R123" i="4" s="1"/>
  <c r="H133" i="4"/>
  <c r="D138" i="4"/>
  <c r="D137" i="4" s="1"/>
  <c r="AE137" i="4"/>
  <c r="H146" i="4"/>
  <c r="AS146" i="4"/>
  <c r="H159" i="4"/>
  <c r="AM136" i="4" l="1"/>
  <c r="AM209" i="4" s="1"/>
  <c r="AM210" i="4" s="1"/>
  <c r="BE209" i="4"/>
  <c r="BE210" i="4" s="1"/>
  <c r="D49" i="4"/>
  <c r="O136" i="4"/>
  <c r="K136" i="4"/>
  <c r="D89" i="4"/>
  <c r="AW209" i="4"/>
  <c r="AW210" i="4" s="1"/>
  <c r="L222" i="4"/>
  <c r="AF217" i="4"/>
  <c r="AW217" i="4"/>
  <c r="AV217" i="4"/>
  <c r="AP217" i="4"/>
  <c r="BH217" i="4"/>
  <c r="AS145" i="4"/>
  <c r="J136" i="4"/>
  <c r="P136" i="4"/>
  <c r="AS123" i="4"/>
  <c r="AE167" i="4"/>
  <c r="N136" i="4"/>
  <c r="AS81" i="4"/>
  <c r="BF209" i="4"/>
  <c r="BF210" i="4" s="1"/>
  <c r="BG209" i="4"/>
  <c r="BG210" i="4" s="1"/>
  <c r="AE208" i="4"/>
  <c r="D146" i="4"/>
  <c r="AS208" i="4"/>
  <c r="E127" i="4"/>
  <c r="AI136" i="4"/>
  <c r="AI209" i="4" s="1"/>
  <c r="AI210" i="4" s="1"/>
  <c r="AE104" i="4"/>
  <c r="AU209" i="4"/>
  <c r="AU210" i="4" s="1"/>
  <c r="D116" i="4"/>
  <c r="E79" i="4"/>
  <c r="D79" i="4"/>
  <c r="D224" i="4" s="1"/>
  <c r="E54" i="4"/>
  <c r="BA209" i="4"/>
  <c r="BA210" i="4" s="1"/>
  <c r="D112" i="4"/>
  <c r="E222" i="4"/>
  <c r="E124" i="4"/>
  <c r="AG136" i="4"/>
  <c r="AG209" i="4" s="1"/>
  <c r="AG210" i="4" s="1"/>
  <c r="AV209" i="4"/>
  <c r="AV210" i="4" s="1"/>
  <c r="AZ136" i="4"/>
  <c r="AZ209" i="4" s="1"/>
  <c r="AZ210" i="4" s="1"/>
  <c r="E89" i="4"/>
  <c r="BH136" i="4"/>
  <c r="AK136" i="4"/>
  <c r="AK209" i="4" s="1"/>
  <c r="AK210" i="4" s="1"/>
  <c r="BD209" i="4"/>
  <c r="BD210" i="4" s="1"/>
  <c r="E84" i="4"/>
  <c r="AO136" i="4"/>
  <c r="AO209" i="4" s="1"/>
  <c r="AO210" i="4" s="1"/>
  <c r="E185" i="4"/>
  <c r="D127" i="4"/>
  <c r="D124" i="4"/>
  <c r="BB136" i="4"/>
  <c r="BB209" i="4" s="1"/>
  <c r="BB210" i="4" s="1"/>
  <c r="AN136" i="4"/>
  <c r="AN209" i="4" s="1"/>
  <c r="AN210" i="4" s="1"/>
  <c r="D185" i="4"/>
  <c r="D174" i="4"/>
  <c r="E50" i="4"/>
  <c r="E49" i="4" s="1"/>
  <c r="AS167" i="4"/>
  <c r="AL136" i="4"/>
  <c r="AL209" i="4" s="1"/>
  <c r="AL210" i="4" s="1"/>
  <c r="AF136" i="4"/>
  <c r="E174" i="4"/>
  <c r="E159" i="4"/>
  <c r="R145" i="4"/>
  <c r="R136" i="4" s="1"/>
  <c r="AF81" i="4"/>
  <c r="E116" i="4"/>
  <c r="E105" i="4"/>
  <c r="E112" i="4"/>
  <c r="E59" i="4"/>
  <c r="E69" i="4"/>
  <c r="E99" i="4"/>
  <c r="E18" i="4"/>
  <c r="H48" i="4"/>
  <c r="R48" i="4"/>
  <c r="AJ136" i="4"/>
  <c r="AJ209" i="4" s="1"/>
  <c r="AJ210" i="4" s="1"/>
  <c r="AS48" i="4"/>
  <c r="AE48" i="4"/>
  <c r="E83" i="4"/>
  <c r="E82" i="4" s="1"/>
  <c r="E154" i="4"/>
  <c r="E146" i="4" s="1"/>
  <c r="E200" i="4"/>
  <c r="E142" i="4"/>
  <c r="E141" i="4" s="1"/>
  <c r="AX209" i="4"/>
  <c r="AX210" i="4" s="1"/>
  <c r="D99" i="4"/>
  <c r="R81" i="4"/>
  <c r="D105" i="4"/>
  <c r="D159" i="4"/>
  <c r="AE17" i="4"/>
  <c r="D69" i="4"/>
  <c r="D59" i="4"/>
  <c r="AT209" i="4"/>
  <c r="AT210" i="4" s="1"/>
  <c r="BC209" i="4"/>
  <c r="BC210" i="4" s="1"/>
  <c r="H104" i="4"/>
  <c r="AE123" i="4"/>
  <c r="AC210" i="4"/>
  <c r="W210" i="4"/>
  <c r="AH209" i="4"/>
  <c r="AH210" i="4" s="1"/>
  <c r="D84" i="4"/>
  <c r="AR136" i="4"/>
  <c r="T209" i="4"/>
  <c r="T210" i="4" s="1"/>
  <c r="AA210" i="4"/>
  <c r="H81" i="4"/>
  <c r="AP145" i="4"/>
  <c r="AP136" i="4" s="1"/>
  <c r="AE145" i="4"/>
  <c r="AE141" i="4"/>
  <c r="H123" i="4"/>
  <c r="D83" i="4"/>
  <c r="D208" i="4" s="1"/>
  <c r="H145" i="4"/>
  <c r="H136" i="4" s="1"/>
  <c r="AE89" i="4"/>
  <c r="AE81" i="4" s="1"/>
  <c r="G224" i="4" l="1"/>
  <c r="AP209" i="4"/>
  <c r="AP210" i="4" s="1"/>
  <c r="BH209" i="4"/>
  <c r="BH210" i="4" s="1"/>
  <c r="E167" i="4"/>
  <c r="AS217" i="4"/>
  <c r="AE217" i="4"/>
  <c r="AS136" i="4"/>
  <c r="AS209" i="4" s="1"/>
  <c r="AS210" i="4" s="1"/>
  <c r="E224" i="4"/>
  <c r="AR209" i="4"/>
  <c r="AR210" i="4" s="1"/>
  <c r="E123" i="4"/>
  <c r="D104" i="4"/>
  <c r="IP79" i="4"/>
  <c r="AF209" i="4"/>
  <c r="AF210" i="4" s="1"/>
  <c r="E81" i="4"/>
  <c r="D123" i="4"/>
  <c r="Y209" i="4"/>
  <c r="Y210" i="4" s="1"/>
  <c r="AB209" i="4"/>
  <c r="AB210" i="4" s="1"/>
  <c r="D145" i="4"/>
  <c r="E48" i="4"/>
  <c r="E145" i="4"/>
  <c r="E104" i="4"/>
  <c r="AE136" i="4"/>
  <c r="D82" i="4"/>
  <c r="D81" i="4" s="1"/>
  <c r="E136" i="4" l="1"/>
  <c r="AE209" i="4"/>
  <c r="AE210" i="4" s="1"/>
  <c r="D136" i="4"/>
  <c r="AW213" i="4"/>
  <c r="Y213" i="4"/>
  <c r="AF213" i="4" l="1"/>
  <c r="AK213" i="4"/>
  <c r="AI213" i="4"/>
  <c r="AH213" i="4"/>
  <c r="AS213" i="4"/>
  <c r="AB213" i="4"/>
  <c r="AO213" i="4"/>
  <c r="BE213" i="4"/>
  <c r="AN213" i="4"/>
  <c r="AP213" i="4"/>
  <c r="AC213" i="4"/>
  <c r="AJ213" i="4"/>
  <c r="AR213" i="4"/>
  <c r="BH213" i="4"/>
  <c r="W213" i="4"/>
  <c r="BG213" i="4"/>
  <c r="BF213" i="4"/>
  <c r="BB213" i="4" l="1"/>
  <c r="AG213" i="4"/>
  <c r="AE213" i="4"/>
  <c r="AV213" i="4"/>
  <c r="E213" i="4" s="1"/>
  <c r="AT213" i="4"/>
  <c r="AX213" i="4"/>
  <c r="T213" i="4"/>
  <c r="AZ213" i="4"/>
  <c r="AA213" i="4"/>
  <c r="AU213" i="4"/>
  <c r="D213" i="4" s="1"/>
  <c r="AM213" i="4"/>
  <c r="AL213" i="4"/>
  <c r="D55" i="4"/>
  <c r="D54" i="4" l="1"/>
  <c r="D48" i="4" s="1"/>
  <c r="D209" i="4" s="1"/>
  <c r="R208" i="4" l="1"/>
  <c r="H208" i="4"/>
  <c r="H20" i="4"/>
  <c r="H17" i="4" s="1"/>
  <c r="H209" i="4" s="1"/>
  <c r="E208" i="4"/>
  <c r="E20" i="4"/>
  <c r="E17" i="4" s="1"/>
  <c r="P20" i="4"/>
  <c r="P17" i="4" s="1"/>
  <c r="P209" i="4" s="1"/>
  <c r="J20" i="4"/>
  <c r="J17" i="4" s="1"/>
  <c r="J209" i="4" s="1"/>
  <c r="S208" i="4"/>
  <c r="R20" i="4"/>
  <c r="R17" i="4" s="1"/>
  <c r="R209" i="4" s="1"/>
  <c r="G208" i="4"/>
  <c r="G17" i="4"/>
  <c r="G209" i="4" s="1"/>
  <c r="N20" i="4"/>
  <c r="N17" i="4" s="1"/>
  <c r="N209" i="4" s="1"/>
  <c r="O20" i="4"/>
  <c r="O17" i="4" s="1"/>
  <c r="O209" i="4" s="1"/>
  <c r="Q20" i="4"/>
  <c r="Q17" i="4" s="1"/>
  <c r="Q209" i="4" s="1"/>
  <c r="S20" i="4"/>
  <c r="S17" i="4" s="1"/>
  <c r="S209" i="4" s="1"/>
  <c r="D23" i="4"/>
  <c r="L20" i="4"/>
  <c r="L17" i="4" s="1"/>
  <c r="L209" i="4" s="1"/>
  <c r="I20" i="4"/>
  <c r="I17" i="4" s="1"/>
  <c r="I209" i="4" s="1"/>
  <c r="K20" i="4"/>
  <c r="K17" i="4" s="1"/>
  <c r="K209" i="4" s="1"/>
  <c r="E31" i="4"/>
  <c r="U20" i="4"/>
  <c r="U17" i="4" s="1"/>
  <c r="U209" i="4" s="1"/>
  <c r="M208" i="4"/>
  <c r="M217" i="4" s="1"/>
  <c r="M20" i="4"/>
  <c r="M17" i="4" s="1"/>
  <c r="M209" i="4" s="1"/>
  <c r="L208" i="4"/>
  <c r="L217" i="4" s="1"/>
  <c r="I208" i="4"/>
  <c r="Q208" i="4"/>
  <c r="Q217" i="4" s="1"/>
  <c r="O208" i="4"/>
  <c r="K208" i="4"/>
  <c r="K216" i="4" s="1"/>
  <c r="P208" i="4"/>
  <c r="P217" i="4" s="1"/>
  <c r="N208" i="4"/>
  <c r="J208" i="4"/>
  <c r="F17" i="4"/>
  <c r="F209" i="4" s="1"/>
  <c r="F208" i="4"/>
  <c r="U208" i="4"/>
  <c r="R31" i="4"/>
  <c r="P31" i="4"/>
  <c r="N31" i="4"/>
  <c r="L31" i="4"/>
  <c r="J31" i="4"/>
  <c r="H31" i="4"/>
  <c r="U31" i="4"/>
  <c r="S31" i="4"/>
  <c r="Q31" i="4"/>
  <c r="O31" i="4"/>
  <c r="BJ21" i="4"/>
  <c r="M31" i="4"/>
  <c r="K31" i="4"/>
  <c r="I31" i="4"/>
  <c r="BJ23" i="4"/>
  <c r="U214" i="4" l="1"/>
  <c r="AE214" i="4" s="1"/>
  <c r="R217" i="4"/>
  <c r="R215" i="4"/>
  <c r="D223" i="4"/>
  <c r="D20" i="4"/>
  <c r="D220" i="4" s="1"/>
  <c r="D210" i="4"/>
  <c r="D215" i="4" s="1"/>
  <c r="K210" i="4"/>
  <c r="I210" i="4"/>
  <c r="F216" i="4"/>
  <c r="J213" i="4"/>
  <c r="L220" i="4"/>
  <c r="R213" i="4"/>
  <c r="L210" i="4"/>
  <c r="J210" i="4"/>
  <c r="J217" i="4"/>
  <c r="E256" i="4"/>
  <c r="D31" i="4"/>
  <c r="Q210" i="4"/>
  <c r="Q213" i="4"/>
  <c r="G213" i="4"/>
  <c r="G210" i="4"/>
  <c r="S210" i="4"/>
  <c r="P210" i="4"/>
  <c r="P213" i="4"/>
  <c r="H213" i="4"/>
  <c r="H210" i="4"/>
  <c r="U213" i="4"/>
  <c r="U217" i="4"/>
  <c r="U210" i="4"/>
  <c r="F210" i="4"/>
  <c r="N213" i="4"/>
  <c r="N217" i="4"/>
  <c r="N210" i="4"/>
  <c r="O213" i="4"/>
  <c r="E209" i="4"/>
  <c r="E11" i="4"/>
  <c r="K213" i="4"/>
  <c r="O210" i="4"/>
  <c r="E223" i="4"/>
  <c r="E225" i="4" s="1"/>
  <c r="S213" i="4"/>
  <c r="E216" i="4"/>
  <c r="M213" i="4"/>
  <c r="R210" i="4"/>
  <c r="K217" i="4"/>
  <c r="O217" i="4"/>
  <c r="I217" i="4"/>
  <c r="I213" i="4"/>
  <c r="L213" i="4"/>
  <c r="M210" i="4"/>
  <c r="E210" i="4"/>
  <c r="F213" i="4"/>
  <c r="S217" i="4"/>
  <c r="E220" i="4"/>
  <c r="E221" i="4" s="1"/>
  <c r="D17" i="4" l="1"/>
  <c r="G223" i="4"/>
  <c r="D225" i="4"/>
  <c r="G225" i="4" s="1"/>
  <c r="D216" i="4"/>
  <c r="C210" i="4"/>
  <c r="D221" i="4"/>
  <c r="E215" i="4"/>
  <c r="D11" i="4" l="1"/>
  <c r="K225" i="4"/>
  <c r="R218" i="4"/>
  <c r="S218" i="4" s="1"/>
  <c r="I220" i="4"/>
</calcChain>
</file>

<file path=xl/sharedStrings.xml><?xml version="1.0" encoding="utf-8"?>
<sst xmlns="http://schemas.openxmlformats.org/spreadsheetml/2006/main" count="463" uniqueCount="332">
  <si>
    <t xml:space="preserve">   Функц.</t>
  </si>
  <si>
    <t>Наименование</t>
  </si>
  <si>
    <t>ОПЛАТА ТРУДА</t>
  </si>
  <si>
    <t>Продукты питания</t>
  </si>
  <si>
    <t>Представит. расходы</t>
  </si>
  <si>
    <t>Денежные компенсации</t>
  </si>
  <si>
    <t>0100</t>
  </si>
  <si>
    <t xml:space="preserve">ГОСУДАРСТВЕННОЕ УПРАВЛЕНИЕ И МЕСТНОЕ САМОУПРАВЛЕНИЕ         </t>
  </si>
  <si>
    <t xml:space="preserve">МУ "Дубоссарское управление культуры"                       </t>
  </si>
  <si>
    <t xml:space="preserve">Функционирование органов местного самоуправления            </t>
  </si>
  <si>
    <t>0400</t>
  </si>
  <si>
    <t xml:space="preserve">ГОСУДАРСТВЕННАЯ ОБОРОНА                                     </t>
  </si>
  <si>
    <t xml:space="preserve">Государственная армия                                       </t>
  </si>
  <si>
    <t xml:space="preserve">Дубоссарский РВК                                            </t>
  </si>
  <si>
    <t>0500</t>
  </si>
  <si>
    <t xml:space="preserve">Органы внутренних дел                                       </t>
  </si>
  <si>
    <t xml:space="preserve">Дубоссарский РОВД                                           </t>
  </si>
  <si>
    <t>1000</t>
  </si>
  <si>
    <t xml:space="preserve">ТРАНСПОРТ, ДОРОЖНОЕ ХОЗЯЙСТВО, СВЯЗЬ И ИНФОРМАТИКА          </t>
  </si>
  <si>
    <t>1200</t>
  </si>
  <si>
    <t xml:space="preserve">ЖИЛИЩНОЕ И КОММУНАЛЬНОЕ ХОЗЯЙСТВО                           </t>
  </si>
  <si>
    <t xml:space="preserve">Жилищное хозяйство                                          </t>
  </si>
  <si>
    <t xml:space="preserve">Коммунальное хозяйство                                      </t>
  </si>
  <si>
    <t>1300</t>
  </si>
  <si>
    <t xml:space="preserve">ОБРАЗОВАНИЕ                                                 </t>
  </si>
  <si>
    <t xml:space="preserve">Дошкольное образование                                      </t>
  </si>
  <si>
    <t xml:space="preserve">Детские дошкольные учреждения                               </t>
  </si>
  <si>
    <t xml:space="preserve">Среднее образование                                         </t>
  </si>
  <si>
    <t xml:space="preserve">Средние школы                                               </t>
  </si>
  <si>
    <t xml:space="preserve">Неполные средние школы                                      </t>
  </si>
  <si>
    <t xml:space="preserve">Вечерние и заочные средние общеобразовательные школы        </t>
  </si>
  <si>
    <t xml:space="preserve">Внешкольные учреждения - УНО                                </t>
  </si>
  <si>
    <t xml:space="preserve">Внешкольные  учреждения  спорта ( Гребля)                   </t>
  </si>
  <si>
    <t xml:space="preserve">Внешкольные учреждения спорта  ДЮСШ-2                       </t>
  </si>
  <si>
    <t xml:space="preserve">Внешкольные учреждения  спорта  ДЮСШ-3                      </t>
  </si>
  <si>
    <t xml:space="preserve">Внешк. учр. культуры (Музыкальная школа)                    </t>
  </si>
  <si>
    <t xml:space="preserve">Внешк. учр. культуры ( Художественная школа)                </t>
  </si>
  <si>
    <t xml:space="preserve">Централизованная бухгалтерия - УНО                          </t>
  </si>
  <si>
    <t>1400</t>
  </si>
  <si>
    <t xml:space="preserve">КУЛЬТУРА, ИСКУССТВО, КИНЕМАТОГРАФИЯ                         </t>
  </si>
  <si>
    <t xml:space="preserve">Деятельность в области культуры и искусства                 </t>
  </si>
  <si>
    <t xml:space="preserve">Библиотеки                                                  </t>
  </si>
  <si>
    <t xml:space="preserve">Музеи и выставки                                            </t>
  </si>
  <si>
    <t xml:space="preserve">Дворцы и дома культуры, клубы и другие учреждения           </t>
  </si>
  <si>
    <t xml:space="preserve">Духовой оркестр                                             </t>
  </si>
  <si>
    <t xml:space="preserve">Спорт и мероприятия для молодежи                            </t>
  </si>
  <si>
    <t xml:space="preserve">Спортивные мероприятия для молодежи                         </t>
  </si>
  <si>
    <t xml:space="preserve">Централизованная бухгалтерия  Управления  культуры          </t>
  </si>
  <si>
    <t>1500</t>
  </si>
  <si>
    <t xml:space="preserve">СРЕДСТВА МАССОВОЙ ИНФОРМАЦИИ                                </t>
  </si>
  <si>
    <t>1700</t>
  </si>
  <si>
    <t xml:space="preserve">СОЦИАЛЬНАЯ ПОЛИТИКА                                         </t>
  </si>
  <si>
    <t xml:space="preserve">Учреждения социального обеспечения                          </t>
  </si>
  <si>
    <t>3000</t>
  </si>
  <si>
    <t xml:space="preserve">ПРОЧИЕ РАСХОДЫ                                              </t>
  </si>
  <si>
    <t xml:space="preserve">Резервные фонды органов местного самоуправления             </t>
  </si>
  <si>
    <t xml:space="preserve">Резервный фонд местного бюджета                             </t>
  </si>
  <si>
    <t xml:space="preserve">Расходы, не отнесённые к другим группам                     </t>
  </si>
  <si>
    <t xml:space="preserve">Штаб НО                                                     </t>
  </si>
  <si>
    <t xml:space="preserve">Платные услуги  МУ "Дубоссарское УНО"                       </t>
  </si>
  <si>
    <t xml:space="preserve">Платные услуги Госадминистрации                             </t>
  </si>
  <si>
    <t xml:space="preserve">Целевые программы                                           </t>
  </si>
  <si>
    <t xml:space="preserve">Программа "Кредитование молодых семей"                      </t>
  </si>
  <si>
    <t xml:space="preserve">                         ИТОГО :                            </t>
  </si>
  <si>
    <t>НАЧИСЛЕНИЯ НА ОПЛАТУ ТРУДА</t>
  </si>
  <si>
    <t>ПРИОБР.ПРЕДМ. СНАБЖ. И РАСХ. МАТЕРИАЛОВ</t>
  </si>
  <si>
    <t>Медикаменты</t>
  </si>
  <si>
    <t>Мягкий инвент. и обмундир.</t>
  </si>
  <si>
    <t>Содерж-е автотр-та</t>
  </si>
  <si>
    <t>ТРАНСП-ЫЕ УСЛУГИ</t>
  </si>
  <si>
    <t>ОПЛАТА УСЛУГ СВЯЗИ</t>
  </si>
  <si>
    <t xml:space="preserve">Льготы по коммун. услугам </t>
  </si>
  <si>
    <t xml:space="preserve">ПРОЧ.ТЕК.РАСХ НА ЗАКУП. ТОВ. И ОПЛ. УСЛУГ  </t>
  </si>
  <si>
    <t>Текущ. рем. оборуд. и инвент.</t>
  </si>
  <si>
    <t>Текущ. ремонт зданий и помещ-ий</t>
  </si>
  <si>
    <t>Учебные и наглядные пособия</t>
  </si>
  <si>
    <t>Книги и периодич. издания</t>
  </si>
  <si>
    <t>Гос. и местн. символика,знаки отличия</t>
  </si>
  <si>
    <t>Переподгот. кадров</t>
  </si>
  <si>
    <t>Издательские услуги</t>
  </si>
  <si>
    <t>Приобр. и установ.счетчиков</t>
  </si>
  <si>
    <t>Тов. и усл., не отнес.к др. гр.</t>
  </si>
  <si>
    <t>ТЕКУЩИЕ ТРАНСФЕРТЫ</t>
  </si>
  <si>
    <t>льготы на транспорт</t>
  </si>
  <si>
    <t>Из дорожного фонда</t>
  </si>
  <si>
    <t>Из экологического фонда</t>
  </si>
  <si>
    <t xml:space="preserve">Приобр. непроизв. оборуд. </t>
  </si>
  <si>
    <t xml:space="preserve">УЧАСТИЕ ПРАВ-ВА В ОСУЩ-ИИ ОТД-Х ПРОГРАММ </t>
  </si>
  <si>
    <t>Раздел</t>
  </si>
  <si>
    <t>Орг.</t>
  </si>
  <si>
    <t xml:space="preserve">      </t>
  </si>
  <si>
    <t>0103</t>
  </si>
  <si>
    <t xml:space="preserve">Функционирование исполнительных органов  гос-ной власти     </t>
  </si>
  <si>
    <t>010</t>
  </si>
  <si>
    <t xml:space="preserve">Государственная администрация г.Дубоссары                   </t>
  </si>
  <si>
    <t>015</t>
  </si>
  <si>
    <t xml:space="preserve">МУ "Дубоссарское управление народного образования"          </t>
  </si>
  <si>
    <t>МУ "Дубоссарское управление физической культуры,спорта и тур</t>
  </si>
  <si>
    <t>0106</t>
  </si>
  <si>
    <t>011</t>
  </si>
  <si>
    <t xml:space="preserve">Городской Совет народных депутатов г.Дубоссары              </t>
  </si>
  <si>
    <t xml:space="preserve">Совет народных депутатов с. Гармацкое                                  </t>
  </si>
  <si>
    <t xml:space="preserve">Совет народных депутатов с. Дзержинское                                </t>
  </si>
  <si>
    <t xml:space="preserve">Совет народных депутатов с. Дойбаны                                   </t>
  </si>
  <si>
    <t xml:space="preserve">Совет народных депутатов с. Дубово                                      </t>
  </si>
  <si>
    <t xml:space="preserve">Совет народных депутатов с. Кр. виноградарь                           </t>
  </si>
  <si>
    <t xml:space="preserve">Совет народных депутатов с. Н. Комиссаровка                            </t>
  </si>
  <si>
    <t xml:space="preserve">Совет народных депутатов с. Цыбулевка                                 </t>
  </si>
  <si>
    <t>Итого по с/с</t>
  </si>
  <si>
    <t>0401</t>
  </si>
  <si>
    <t>035</t>
  </si>
  <si>
    <t>ПРАВООХРАНИТЕЛЬНАЯ ДЕЯТ-НОСТЬ И ОБЕСПЕЧ. БЕЗОПАСНОСТИ ГОС-ВА</t>
  </si>
  <si>
    <t>0501</t>
  </si>
  <si>
    <t>038</t>
  </si>
  <si>
    <t>1001</t>
  </si>
  <si>
    <t xml:space="preserve">Автомобильный транспорт                                     </t>
  </si>
  <si>
    <t>170</t>
  </si>
  <si>
    <t>Возмещение расходов за льготный проезд</t>
  </si>
  <si>
    <t>1201</t>
  </si>
  <si>
    <t>175</t>
  </si>
  <si>
    <t>176</t>
  </si>
  <si>
    <t>1202</t>
  </si>
  <si>
    <t>178</t>
  </si>
  <si>
    <t>1203</t>
  </si>
  <si>
    <t>Деят-ть и услуги жилищно-комм-ного хоз-ва, не отнес. к др. г</t>
  </si>
  <si>
    <t>179</t>
  </si>
  <si>
    <t>1301</t>
  </si>
  <si>
    <t>051</t>
  </si>
  <si>
    <t>1303</t>
  </si>
  <si>
    <t>053</t>
  </si>
  <si>
    <t>054</t>
  </si>
  <si>
    <t>055</t>
  </si>
  <si>
    <t>057</t>
  </si>
  <si>
    <t xml:space="preserve">Спец.школа-интернат                                         </t>
  </si>
  <si>
    <t>1309</t>
  </si>
  <si>
    <t>Учр-ния и мероприятия в обл. образования, не отнес. к др. гр</t>
  </si>
  <si>
    <t>070</t>
  </si>
  <si>
    <t>073</t>
  </si>
  <si>
    <t>074</t>
  </si>
  <si>
    <t>1402</t>
  </si>
  <si>
    <t>087</t>
  </si>
  <si>
    <t>088</t>
  </si>
  <si>
    <t>089</t>
  </si>
  <si>
    <t>090</t>
  </si>
  <si>
    <t>1403</t>
  </si>
  <si>
    <t>092</t>
  </si>
  <si>
    <t>1404</t>
  </si>
  <si>
    <t>Учр-ния и мер-тия в обл. культ.,искус.,религ.,спорта,не отне</t>
  </si>
  <si>
    <t>Отдел центр-ого хоз.обсл-ния Управления культуры</t>
  </si>
  <si>
    <t>091</t>
  </si>
  <si>
    <t>Отдел культуры и искусства</t>
  </si>
  <si>
    <t>1502</t>
  </si>
  <si>
    <t xml:space="preserve">Переодическая печать и издательства                         </t>
  </si>
  <si>
    <t>095</t>
  </si>
  <si>
    <t>1703</t>
  </si>
  <si>
    <t>129</t>
  </si>
  <si>
    <t>131</t>
  </si>
  <si>
    <t xml:space="preserve">Реабилитационный центр                                      </t>
  </si>
  <si>
    <t>1711</t>
  </si>
  <si>
    <t>Учр-ния и услуги в обл. соц.обеспеч. и соц.поддерки,не отнес</t>
  </si>
  <si>
    <t>Прочие учр. и мероп.в области соц. обес.(опека)</t>
  </si>
  <si>
    <t>Прочие учр. и мероп.в области соц. обес.(погребение)</t>
  </si>
  <si>
    <t>Прочие учр. и мероп.в области соц. обес.</t>
  </si>
  <si>
    <t>1712</t>
  </si>
  <si>
    <t>Льготы отдельным категориям населения на жилищно-комм. услуг</t>
  </si>
  <si>
    <t>182</t>
  </si>
  <si>
    <t>Возмещение льготы населению на жилищно-коммунальные услуги и</t>
  </si>
  <si>
    <t>3004</t>
  </si>
  <si>
    <t>213</t>
  </si>
  <si>
    <t>3005</t>
  </si>
  <si>
    <t>Проведение выборов и референдумов</t>
  </si>
  <si>
    <t>205</t>
  </si>
  <si>
    <t>3007</t>
  </si>
  <si>
    <t>214</t>
  </si>
  <si>
    <t>Комиссии по вопросам оказания помощи малообеспеченным и остронужд. категориям граждан</t>
  </si>
  <si>
    <t xml:space="preserve">Охрана - Гармацкий с/с                                      </t>
  </si>
  <si>
    <t>итого по платным услугам</t>
  </si>
  <si>
    <t xml:space="preserve">Платные услуги МУ "Служба социальной помощи на дому "       </t>
  </si>
  <si>
    <t xml:space="preserve">Платные услуги МУ "Дубоссарское УФКС и Т"                             </t>
  </si>
  <si>
    <t>3008</t>
  </si>
  <si>
    <t>184</t>
  </si>
  <si>
    <t>Итого по целевому сбору с физ.лиц</t>
  </si>
  <si>
    <t xml:space="preserve">Целевой сбор с физ.лиц - с. Гармацкое                                   </t>
  </si>
  <si>
    <t xml:space="preserve">Целевой сбор с физ.лиц - с. Дзержинское                                </t>
  </si>
  <si>
    <t xml:space="preserve">Целевой сбор с физ.лиц - с. Дойбаны                                   </t>
  </si>
  <si>
    <t xml:space="preserve">Целевой сбор с физ.лиц - с. Дубово                                      </t>
  </si>
  <si>
    <t xml:space="preserve">Целевой сбор с физ.лиц - с. Кр. Виноградарь                           </t>
  </si>
  <si>
    <t xml:space="preserve">Целевой сбор с физ.лиц - с. Н. Комиссаровка                            </t>
  </si>
  <si>
    <t xml:space="preserve">Целевой сбор с физ.лиц - с. Роги                                      </t>
  </si>
  <si>
    <t xml:space="preserve">Целевой сбор с физ.лиц - с. Цыбулевка                                 </t>
  </si>
  <si>
    <t>Итого по целевому сбору с юр.лиц</t>
  </si>
  <si>
    <t xml:space="preserve">Целевой сбор с юр.лиц - с. Гармацкое                            </t>
  </si>
  <si>
    <t xml:space="preserve">Целевой сбор с юр.лиц - с. Дзержинское                                </t>
  </si>
  <si>
    <t xml:space="preserve">Целевой сбор с юр.лиц - с. Дойбаны                                   </t>
  </si>
  <si>
    <t xml:space="preserve">Целевой сбор с юр.лиц - с. Дубово                                      </t>
  </si>
  <si>
    <t xml:space="preserve">Целевой сбор с юр.лиц - с. Кр. Виноградарь                           </t>
  </si>
  <si>
    <t xml:space="preserve">Целевой сбор с юр.лиц - с. Н. Комиссаровка                            </t>
  </si>
  <si>
    <t xml:space="preserve">Целевой сбор с юр.лиц - с. Роги                                      </t>
  </si>
  <si>
    <t xml:space="preserve">Целевой сбор с юр.лиц - с. Цыбулевка                                 </t>
  </si>
  <si>
    <t>3202</t>
  </si>
  <si>
    <t>310</t>
  </si>
  <si>
    <t>9999</t>
  </si>
  <si>
    <t xml:space="preserve">Благоустройство сел - Гармацкий с/с  (СЖФ)                       </t>
  </si>
  <si>
    <t xml:space="preserve">Благоустройство сел - Гоянский с/с    (СЖФ)                           </t>
  </si>
  <si>
    <t xml:space="preserve">Благоустройство сел - Дзержинский с/с      (СЖФ)                      </t>
  </si>
  <si>
    <t xml:space="preserve">Благоустройство сел - Дойбанский с/с          (СЖФ)                   </t>
  </si>
  <si>
    <t xml:space="preserve">Благоустройство сел - Дубовский с/с    (СЖФ)                          </t>
  </si>
  <si>
    <t>Итого благоустройство сел:</t>
  </si>
  <si>
    <t>Итого благоустройство сел (СЖФ)</t>
  </si>
  <si>
    <t>Кап.ремонт ЖилФонда</t>
  </si>
  <si>
    <t xml:space="preserve">Кап.рем.объект. соц. культ. назнач. </t>
  </si>
  <si>
    <t>Кап. ремонт админ.зданий</t>
  </si>
  <si>
    <t>Возмещение расх."Заря Приднестровья" для ГА</t>
  </si>
  <si>
    <t>Возмещение расх."Заря Приднестровья" для СНД</t>
  </si>
  <si>
    <t>Обустройство стоянок,парковок</t>
  </si>
  <si>
    <t>На благоустройство территорий и жил фонд</t>
  </si>
  <si>
    <t>ст. 130140*</t>
  </si>
  <si>
    <t>Управления жилищного и коммунального хозяйс</t>
  </si>
  <si>
    <t xml:space="preserve">Кап. влож.объект. соц. культ. назнач. </t>
  </si>
  <si>
    <t>Утверждено:</t>
  </si>
  <si>
    <t>Решением</t>
  </si>
  <si>
    <t>Совета народных депутатов</t>
  </si>
  <si>
    <t>Дубоссарского района и г.Дубоссары</t>
  </si>
  <si>
    <t>_______________ А. Н. Коломыцев</t>
  </si>
  <si>
    <t xml:space="preserve">Фонд экономического равития ПМР </t>
  </si>
  <si>
    <t>Фонд экономического развития города (района)</t>
  </si>
  <si>
    <t>3003</t>
  </si>
  <si>
    <t xml:space="preserve">Фонд социального равития ПМР </t>
  </si>
  <si>
    <t>Фонд социального развития города (района)</t>
  </si>
  <si>
    <t>кап влож в ж/с</t>
  </si>
  <si>
    <t>3002</t>
  </si>
  <si>
    <t>Расходы на ГЗ</t>
  </si>
  <si>
    <t>КОМАНДИРОВКИ ЗА ПРЕДЕЛЫ РЕСПУБЛИКИ</t>
  </si>
  <si>
    <t>Государственные дороги</t>
  </si>
  <si>
    <t>Муниципальные дороги</t>
  </si>
  <si>
    <t>Проч. расх. мат-лы и предм. Снаб.</t>
  </si>
  <si>
    <t xml:space="preserve">Вывоз мусора                                   </t>
  </si>
  <si>
    <t>Комиссия по ликвидации учреждений</t>
  </si>
  <si>
    <t xml:space="preserve">Расходы на чрезвычайные ситуации и ГЗ                        </t>
  </si>
  <si>
    <t>Прочие услуги ГА г.Дубоссары и Дубоссарского района</t>
  </si>
  <si>
    <t>Жилищное хозяйство (МБ)</t>
  </si>
  <si>
    <t xml:space="preserve">Благоустройство городов  (З/плата)                                    </t>
  </si>
  <si>
    <t>реаб+спец.шк</t>
  </si>
  <si>
    <t>СОЦ.ЗАЩ</t>
  </si>
  <si>
    <t xml:space="preserve">Редакция "Заря Приднестровья"                        </t>
  </si>
  <si>
    <t>Целевые</t>
  </si>
  <si>
    <t xml:space="preserve">Жилищное хозяйство (СЖФ)                                        </t>
  </si>
  <si>
    <t>Ремонт и реконструкция тротуаров насел.пунктов</t>
  </si>
  <si>
    <t>Благоустр. территорий общеобразов. и соц.-культ.учреждений</t>
  </si>
  <si>
    <t>ПРОЧИЕ</t>
  </si>
  <si>
    <t>Централизованная бухгалтерия УФКСиТ</t>
  </si>
  <si>
    <t>Плата за услуги землеустроителей с.Дзержинское</t>
  </si>
  <si>
    <t>Плата за услуги землеустроителей с.Дойбаны</t>
  </si>
  <si>
    <t xml:space="preserve">Благоустройство сел - с. Гармацкое                        </t>
  </si>
  <si>
    <t xml:space="preserve">Благоустройство сел - с. Дзержинское                      </t>
  </si>
  <si>
    <t xml:space="preserve">Благоустройство сел - с. Дойбаны                        </t>
  </si>
  <si>
    <t xml:space="preserve">Благоустройство сел - с. Дубово                      </t>
  </si>
  <si>
    <t xml:space="preserve">Благоустройство сел - с. Кр.Виноградарь               </t>
  </si>
  <si>
    <t xml:space="preserve">Благоустройство сел - с. Н.Комиссаровка            </t>
  </si>
  <si>
    <t xml:space="preserve">Благоустройство сел - с. Роги                   </t>
  </si>
  <si>
    <t xml:space="preserve">Благоустройство сел - с. Цыбулевка                     </t>
  </si>
  <si>
    <t xml:space="preserve">Благоустройство сел - с. Цыбулевка (СЖФ)                       </t>
  </si>
  <si>
    <t xml:space="preserve">Благоустройство сел - с. Роги (СЖФ)                          </t>
  </si>
  <si>
    <t>167</t>
  </si>
  <si>
    <t>Плата за услуги землеустроителей с.Н.Комиссаровка</t>
  </si>
  <si>
    <t>зарплата</t>
  </si>
  <si>
    <t xml:space="preserve">МУ "Социальная помощь на дому"         </t>
  </si>
  <si>
    <t>Плата за услуги землеустроителей с.Гояны</t>
  </si>
  <si>
    <t xml:space="preserve">Целевой сбор с юр.лиц - с. Гояны                                      </t>
  </si>
  <si>
    <t xml:space="preserve">Целевой сбор с физ.лиц - с. Гояны                                   </t>
  </si>
  <si>
    <t xml:space="preserve">Благоустройство сел - с. Гояны                        </t>
  </si>
  <si>
    <t xml:space="preserve">Совет народных депутатов с. Гояны                                    </t>
  </si>
  <si>
    <t>1310</t>
  </si>
  <si>
    <t>Организ. и учр-ния в обл образования, подвед-нные гос. администрации города (района), выпол. управл-ие функции</t>
  </si>
  <si>
    <t>1405</t>
  </si>
  <si>
    <t xml:space="preserve">Организ. и учр-ния в области культуры, искусства, религии, спорта и туризма, подвед. гос.администрации города (района), выполняющие управлен. функции </t>
  </si>
  <si>
    <t>Плата за услуги землеустроителей с.Дубово</t>
  </si>
  <si>
    <t>3201</t>
  </si>
  <si>
    <t>ДОРОЖНЫЙ ФОНД</t>
  </si>
  <si>
    <t>ЭКОЛОГИЧЕСКИЙ ФОНД</t>
  </si>
  <si>
    <t>Вневед.охрана</t>
  </si>
  <si>
    <t>Фонда поддержки территорий городов и районов</t>
  </si>
  <si>
    <t>Всего Расходы подлежащие финансированию</t>
  </si>
  <si>
    <t xml:space="preserve">ОПЛАТА КОММУН-ЫХ УСЛУГ - Расходы подлеж. финан-ию </t>
  </si>
  <si>
    <t>Оплата тепл. энер. - Расходы подлеж. финан-ию</t>
  </si>
  <si>
    <t xml:space="preserve">Освещ. Помещ. - Расходы подлеж. финан-ию                                                </t>
  </si>
  <si>
    <t xml:space="preserve">Водоснаб-е помещ. - Расходы подлеж. финан-ию                                                                                        </t>
  </si>
  <si>
    <t>Оплата газа - Расходы подлеж. финан-ию</t>
  </si>
  <si>
    <t>КОМАН-КИ ВНУТРИ РЕСПУБЛИКИ</t>
  </si>
  <si>
    <t>Содер-ние помещений</t>
  </si>
  <si>
    <t>Пред.проч.</t>
  </si>
  <si>
    <t>финан.проч.</t>
  </si>
  <si>
    <t>СЗ коммун.</t>
  </si>
  <si>
    <t>Приобр. производ. оборуд.</t>
  </si>
  <si>
    <t xml:space="preserve">Благоустройство и озеленение городов (МБ)                                     </t>
  </si>
  <si>
    <t>МУ "Дубоссарское УФКСиТ"</t>
  </si>
  <si>
    <t>в Законе</t>
  </si>
  <si>
    <t>Прочие трансферты насел.</t>
  </si>
  <si>
    <t>Всего расходы</t>
  </si>
  <si>
    <t xml:space="preserve">ОПЛАТА КОММУН-ЫХ УСЛУГ </t>
  </si>
  <si>
    <t>Оплата тепл. энер.</t>
  </si>
  <si>
    <t xml:space="preserve">Освещ. Помещ.                                       </t>
  </si>
  <si>
    <t xml:space="preserve">Водоснаб-е помещ.                                                                                         </t>
  </si>
  <si>
    <t xml:space="preserve">Оплата газа </t>
  </si>
  <si>
    <t>Приложение № 2</t>
  </si>
  <si>
    <t>Предельные расходы МБ по</t>
  </si>
  <si>
    <t>Оплата по договорам коммерческого найма жилья для детей-сирот</t>
  </si>
  <si>
    <t>Целевой сбор с граждан на благоустройство территории города</t>
  </si>
  <si>
    <t>Программа исполнения наказов избирателей</t>
  </si>
  <si>
    <t xml:space="preserve">Благоустройство городов (Муниц.заказ)                                     </t>
  </si>
  <si>
    <t>Пл.усл.</t>
  </si>
  <si>
    <t>Ремонт квартир детям сиротам</t>
  </si>
  <si>
    <t xml:space="preserve">Платные услуги  МУ " Дубоссарское УК"      </t>
  </si>
  <si>
    <t>Трансферты на поддержку редакций газет и журналов</t>
  </si>
  <si>
    <t>СЖФ</t>
  </si>
  <si>
    <t>МБ</t>
  </si>
  <si>
    <t>Единовременная финансовая (материальная) помощь родителям обучающихся 1-го класса</t>
  </si>
  <si>
    <t>Детские площадки для детей школьного возвраста</t>
  </si>
  <si>
    <t>(529 ост.)</t>
  </si>
  <si>
    <t>Совет народных депутатов с. Роги</t>
  </si>
  <si>
    <t>Резервный фонд Правительства ПМР, Президента ПМР</t>
  </si>
  <si>
    <t xml:space="preserve">Благоустройство сел - Н.Комиссаровский (СЖФ)                   </t>
  </si>
  <si>
    <t xml:space="preserve">Благоустройство сел - Кр.Виноградарский  (СЖФ)                 </t>
  </si>
  <si>
    <t>Дубоссарскому району и городу Дубоссары на 2025 г.</t>
  </si>
  <si>
    <t xml:space="preserve">Программа "Кредитование молодых специалистов"                      </t>
  </si>
  <si>
    <t>Проч. + Льготы</t>
  </si>
  <si>
    <t>Денеж. вознагр. за выпо.-ые работы, услуги</t>
  </si>
  <si>
    <t xml:space="preserve">Благоустройство городов (СЖФ) (Муниц.заказ)                                    </t>
  </si>
  <si>
    <t xml:space="preserve">Паи - меропр. по благоустройству сел. насел.пункт.                      </t>
  </si>
  <si>
    <t xml:space="preserve">Целевые субсидии ДФ </t>
  </si>
  <si>
    <t>30 сессии    26  созыва</t>
  </si>
  <si>
    <t>" 05  "        июня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</si>
</sst>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#"/>
    <numFmt numFmtId="166" formatCode="#,##0_ ;[Red]\-#,##0\ "/>
    <numFmt numFmtId="167" formatCode="#,##0.000"/>
    <numFmt numFmtId="168" formatCode="0.000"/>
    <numFmt numFmtId="169" formatCode="#,##0_ ;\-#,##0\ "/>
  </numFmts>
  <fonts count="4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Narrow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7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11"/>
      <color indexed="9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7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Arial Cyr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2"/>
      <color rgb="FFFF0000"/>
      <name val="Times New Roman"/>
      <family val="1"/>
      <charset val="204"/>
    </font>
    <font>
      <b/>
      <i/>
      <sz val="11"/>
      <color indexed="17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7.5"/>
      <name val="Times New Roman"/>
      <family val="1"/>
      <charset val="204"/>
    </font>
    <font>
      <sz val="7.9"/>
      <name val="Times New Roman"/>
      <family val="1"/>
      <charset val="204"/>
    </font>
    <font>
      <sz val="8.5"/>
      <name val="Times New Roman"/>
      <family val="1"/>
      <charset val="204"/>
    </font>
    <font>
      <sz val="7.4"/>
      <name val="Times New Roman"/>
      <family val="1"/>
      <charset val="204"/>
    </font>
    <font>
      <b/>
      <sz val="8.5"/>
      <name val="Times New Roman"/>
      <family val="1"/>
      <charset val="204"/>
    </font>
    <font>
      <sz val="8.4"/>
      <name val="Times New Roman"/>
      <family val="1"/>
      <charset val="204"/>
    </font>
    <font>
      <b/>
      <sz val="11.5"/>
      <name val="Times New Roman"/>
      <family val="1"/>
      <charset val="204"/>
    </font>
    <font>
      <sz val="9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3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0" fillId="0" borderId="0" xfId="0" applyFill="1" applyAlignment="1">
      <alignment vertical="center"/>
    </xf>
    <xf numFmtId="0" fontId="5" fillId="0" borderId="0" xfId="0" applyFont="1" applyFill="1"/>
    <xf numFmtId="3" fontId="3" fillId="0" borderId="0" xfId="0" applyNumberFormat="1" applyFont="1" applyFill="1"/>
    <xf numFmtId="3" fontId="6" fillId="0" borderId="0" xfId="0" applyNumberFormat="1" applyFont="1" applyFill="1"/>
    <xf numFmtId="0" fontId="8" fillId="0" borderId="0" xfId="0" applyFont="1" applyFill="1" applyAlignment="1">
      <alignment wrapText="1"/>
    </xf>
    <xf numFmtId="3" fontId="10" fillId="0" borderId="0" xfId="0" applyNumberFormat="1" applyFont="1" applyFill="1" applyBorder="1"/>
    <xf numFmtId="0" fontId="11" fillId="0" borderId="0" xfId="0" applyFont="1" applyFill="1"/>
    <xf numFmtId="3" fontId="11" fillId="0" borderId="0" xfId="0" applyNumberFormat="1" applyFont="1" applyFill="1"/>
    <xf numFmtId="0" fontId="10" fillId="0" borderId="0" xfId="0" applyFont="1" applyFill="1"/>
    <xf numFmtId="3" fontId="10" fillId="0" borderId="0" xfId="0" applyNumberFormat="1" applyFont="1" applyFill="1"/>
    <xf numFmtId="3" fontId="8" fillId="0" borderId="0" xfId="0" applyNumberFormat="1" applyFont="1" applyFill="1"/>
    <xf numFmtId="3" fontId="10" fillId="0" borderId="0" xfId="0" applyNumberFormat="1" applyFont="1" applyFill="1" applyAlignment="1">
      <alignment horizontal="center"/>
    </xf>
    <xf numFmtId="0" fontId="13" fillId="0" borderId="0" xfId="0" applyFont="1" applyFill="1"/>
    <xf numFmtId="3" fontId="13" fillId="0" borderId="0" xfId="0" applyNumberFormat="1" applyFont="1" applyFill="1"/>
    <xf numFmtId="3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49" fontId="14" fillId="0" borderId="1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center"/>
    </xf>
    <xf numFmtId="3" fontId="14" fillId="0" borderId="4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0" fontId="13" fillId="0" borderId="8" xfId="0" applyFont="1" applyFill="1" applyBorder="1"/>
    <xf numFmtId="49" fontId="19" fillId="0" borderId="6" xfId="0" applyNumberFormat="1" applyFont="1" applyFill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19" fillId="0" borderId="9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3" fontId="13" fillId="0" borderId="10" xfId="0" applyNumberFormat="1" applyFont="1" applyFill="1" applyBorder="1" applyAlignment="1">
      <alignment horizontal="center" vertical="center" wrapText="1"/>
    </xf>
    <xf numFmtId="3" fontId="13" fillId="0" borderId="11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14" fillId="0" borderId="10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22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3" fontId="13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3" fontId="17" fillId="0" borderId="0" xfId="0" applyNumberFormat="1" applyFont="1" applyFill="1" applyBorder="1"/>
    <xf numFmtId="0" fontId="13" fillId="0" borderId="9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3" fillId="0" borderId="18" xfId="0" applyFont="1" applyFill="1" applyBorder="1" applyAlignment="1">
      <alignment vertical="center"/>
    </xf>
    <xf numFmtId="0" fontId="18" fillId="0" borderId="0" xfId="0" applyFont="1" applyFill="1" applyAlignment="1"/>
    <xf numFmtId="0" fontId="13" fillId="0" borderId="0" xfId="0" applyFont="1" applyFill="1" applyAlignment="1">
      <alignment vertical="center" wrapText="1"/>
    </xf>
    <xf numFmtId="0" fontId="0" fillId="0" borderId="0" xfId="0" applyFill="1" applyAlignment="1"/>
    <xf numFmtId="3" fontId="14" fillId="0" borderId="0" xfId="0" applyNumberFormat="1" applyFont="1" applyFill="1"/>
    <xf numFmtId="49" fontId="14" fillId="0" borderId="18" xfId="0" applyNumberFormat="1" applyFont="1" applyFill="1" applyBorder="1" applyAlignment="1">
      <alignment horizontal="center" vertical="center"/>
    </xf>
    <xf numFmtId="49" fontId="14" fillId="0" borderId="19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vertical="center" wrapText="1"/>
    </xf>
    <xf numFmtId="0" fontId="25" fillId="0" borderId="0" xfId="0" applyFont="1" applyFill="1"/>
    <xf numFmtId="0" fontId="10" fillId="0" borderId="0" xfId="0" applyFont="1" applyFill="1" applyAlignment="1"/>
    <xf numFmtId="0" fontId="13" fillId="0" borderId="0" xfId="0" applyFont="1" applyFill="1" applyAlignment="1">
      <alignment horizontal="left"/>
    </xf>
    <xf numFmtId="0" fontId="16" fillId="0" borderId="0" xfId="0" applyFont="1" applyFill="1"/>
    <xf numFmtId="0" fontId="13" fillId="0" borderId="0" xfId="0" applyFont="1" applyFill="1" applyAlignment="1">
      <alignment horizontal="justify"/>
    </xf>
    <xf numFmtId="0" fontId="11" fillId="0" borderId="0" xfId="0" applyFont="1" applyFill="1" applyAlignment="1">
      <alignment horizontal="left"/>
    </xf>
    <xf numFmtId="0" fontId="13" fillId="0" borderId="0" xfId="0" applyFont="1" applyFill="1" applyAlignment="1"/>
    <xf numFmtId="0" fontId="17" fillId="0" borderId="0" xfId="0" applyFont="1" applyFill="1"/>
    <xf numFmtId="0" fontId="18" fillId="0" borderId="0" xfId="0" applyFont="1" applyFill="1"/>
    <xf numFmtId="3" fontId="17" fillId="0" borderId="0" xfId="0" applyNumberFormat="1" applyFont="1" applyFill="1"/>
    <xf numFmtId="0" fontId="26" fillId="0" borderId="14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14" fillId="0" borderId="25" xfId="0" applyNumberFormat="1" applyFont="1" applyFill="1" applyBorder="1" applyAlignment="1">
      <alignment horizontal="center" vertical="center"/>
    </xf>
    <xf numFmtId="49" fontId="14" fillId="0" borderId="26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/>
    <xf numFmtId="0" fontId="8" fillId="0" borderId="0" xfId="0" applyFont="1" applyFill="1" applyAlignment="1"/>
    <xf numFmtId="3" fontId="11" fillId="0" borderId="0" xfId="0" applyNumberFormat="1" applyFont="1" applyFill="1" applyBorder="1"/>
    <xf numFmtId="166" fontId="11" fillId="0" borderId="0" xfId="0" applyNumberFormat="1" applyFont="1" applyFill="1" applyBorder="1"/>
    <xf numFmtId="167" fontId="10" fillId="0" borderId="0" xfId="0" applyNumberFormat="1" applyFont="1" applyFill="1" applyBorder="1"/>
    <xf numFmtId="3" fontId="14" fillId="0" borderId="0" xfId="0" applyNumberFormat="1" applyFont="1" applyFill="1" applyBorder="1"/>
    <xf numFmtId="0" fontId="11" fillId="0" borderId="0" xfId="0" applyFont="1" applyFill="1" applyBorder="1"/>
    <xf numFmtId="0" fontId="10" fillId="0" borderId="0" xfId="0" applyFont="1" applyFill="1" applyBorder="1"/>
    <xf numFmtId="3" fontId="15" fillId="0" borderId="0" xfId="0" applyNumberFormat="1" applyFont="1" applyFill="1"/>
    <xf numFmtId="3" fontId="8" fillId="0" borderId="0" xfId="0" applyNumberFormat="1" applyFont="1" applyFill="1" applyBorder="1"/>
    <xf numFmtId="0" fontId="0" fillId="0" borderId="0" xfId="0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/>
    <xf numFmtId="168" fontId="0" fillId="0" borderId="0" xfId="0" applyNumberFormat="1" applyFill="1" applyBorder="1"/>
    <xf numFmtId="1" fontId="0" fillId="0" borderId="0" xfId="0" applyNumberFormat="1" applyFill="1" applyBorder="1"/>
    <xf numFmtId="167" fontId="0" fillId="0" borderId="0" xfId="0" applyNumberFormat="1" applyFill="1" applyBorder="1"/>
    <xf numFmtId="3" fontId="0" fillId="0" borderId="0" xfId="0" applyNumberFormat="1" applyFill="1" applyBorder="1"/>
    <xf numFmtId="0" fontId="28" fillId="0" borderId="0" xfId="0" applyFont="1" applyFill="1" applyAlignment="1">
      <alignment vertical="center"/>
    </xf>
    <xf numFmtId="49" fontId="19" fillId="0" borderId="27" xfId="0" applyNumberFormat="1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vertical="center"/>
    </xf>
    <xf numFmtId="3" fontId="10" fillId="0" borderId="30" xfId="0" applyNumberFormat="1" applyFont="1" applyFill="1" applyBorder="1" applyAlignment="1">
      <alignment vertical="center"/>
    </xf>
    <xf numFmtId="3" fontId="14" fillId="0" borderId="25" xfId="0" applyNumberFormat="1" applyFont="1" applyFill="1" applyBorder="1" applyAlignment="1">
      <alignment vertical="center"/>
    </xf>
    <xf numFmtId="3" fontId="14" fillId="0" borderId="25" xfId="0" applyNumberFormat="1" applyFont="1" applyFill="1" applyBorder="1" applyAlignment="1">
      <alignment vertical="center" wrapText="1"/>
    </xf>
    <xf numFmtId="3" fontId="13" fillId="0" borderId="25" xfId="0" applyNumberFormat="1" applyFont="1" applyFill="1" applyBorder="1" applyAlignment="1">
      <alignment vertical="center"/>
    </xf>
    <xf numFmtId="3" fontId="14" fillId="0" borderId="31" xfId="0" applyNumberFormat="1" applyFont="1" applyFill="1" applyBorder="1" applyAlignment="1">
      <alignment vertical="center"/>
    </xf>
    <xf numFmtId="3" fontId="11" fillId="0" borderId="32" xfId="0" applyNumberFormat="1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33" xfId="0" applyNumberFormat="1" applyFont="1" applyFill="1" applyBorder="1" applyAlignment="1">
      <alignment vertical="center"/>
    </xf>
    <xf numFmtId="3" fontId="14" fillId="0" borderId="19" xfId="0" applyNumberFormat="1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vertical="center" wrapText="1"/>
    </xf>
    <xf numFmtId="3" fontId="14" fillId="0" borderId="33" xfId="0" applyNumberFormat="1" applyFont="1" applyFill="1" applyBorder="1" applyAlignment="1">
      <alignment vertical="center"/>
    </xf>
    <xf numFmtId="0" fontId="14" fillId="0" borderId="34" xfId="0" applyFont="1" applyFill="1" applyBorder="1" applyAlignment="1">
      <alignment vertical="center"/>
    </xf>
    <xf numFmtId="3" fontId="10" fillId="0" borderId="35" xfId="0" applyNumberFormat="1" applyFont="1" applyFill="1" applyBorder="1" applyAlignment="1">
      <alignment vertical="center"/>
    </xf>
    <xf numFmtId="3" fontId="10" fillId="0" borderId="10" xfId="0" applyNumberFormat="1" applyFont="1" applyFill="1" applyBorder="1" applyAlignment="1">
      <alignment vertical="center"/>
    </xf>
    <xf numFmtId="3" fontId="14" fillId="0" borderId="36" xfId="0" applyNumberFormat="1" applyFont="1" applyFill="1" applyBorder="1" applyAlignment="1">
      <alignment vertical="center"/>
    </xf>
    <xf numFmtId="3" fontId="14" fillId="0" borderId="36" xfId="0" applyNumberFormat="1" applyFont="1" applyFill="1" applyBorder="1" applyAlignment="1">
      <alignment vertical="center" wrapText="1"/>
    </xf>
    <xf numFmtId="3" fontId="13" fillId="0" borderId="36" xfId="0" applyNumberFormat="1" applyFont="1" applyFill="1" applyBorder="1" applyAlignment="1">
      <alignment vertical="center"/>
    </xf>
    <xf numFmtId="3" fontId="14" fillId="0" borderId="37" xfId="0" applyNumberFormat="1" applyFont="1" applyFill="1" applyBorder="1" applyAlignment="1">
      <alignment vertical="center"/>
    </xf>
    <xf numFmtId="0" fontId="19" fillId="0" borderId="20" xfId="0" applyFont="1" applyFill="1" applyBorder="1" applyAlignment="1">
      <alignment vertical="center"/>
    </xf>
    <xf numFmtId="3" fontId="23" fillId="0" borderId="15" xfId="0" applyNumberFormat="1" applyFont="1" applyFill="1" applyBorder="1" applyAlignment="1">
      <alignment vertical="center"/>
    </xf>
    <xf numFmtId="3" fontId="19" fillId="0" borderId="7" xfId="0" applyNumberFormat="1" applyFont="1" applyFill="1" applyBorder="1" applyAlignment="1">
      <alignment vertical="center"/>
    </xf>
    <xf numFmtId="3" fontId="19" fillId="0" borderId="27" xfId="0" applyNumberFormat="1" applyFont="1" applyFill="1" applyBorder="1" applyAlignment="1">
      <alignment vertical="center"/>
    </xf>
    <xf numFmtId="3" fontId="19" fillId="0" borderId="27" xfId="0" applyNumberFormat="1" applyFont="1" applyFill="1" applyBorder="1" applyAlignment="1">
      <alignment vertical="center" wrapText="1"/>
    </xf>
    <xf numFmtId="3" fontId="13" fillId="0" borderId="27" xfId="0" applyNumberFormat="1" applyFont="1" applyFill="1" applyBorder="1" applyAlignment="1">
      <alignment vertical="center"/>
    </xf>
    <xf numFmtId="3" fontId="19" fillId="0" borderId="38" xfId="0" applyNumberFormat="1" applyFont="1" applyFill="1" applyBorder="1" applyAlignment="1">
      <alignment vertical="center"/>
    </xf>
    <xf numFmtId="3" fontId="23" fillId="0" borderId="10" xfId="0" applyNumberFormat="1" applyFont="1" applyFill="1" applyBorder="1" applyAlignment="1">
      <alignment vertical="center"/>
    </xf>
    <xf numFmtId="3" fontId="19" fillId="0" borderId="25" xfId="0" applyNumberFormat="1" applyFont="1" applyFill="1" applyBorder="1" applyAlignment="1">
      <alignment vertical="center"/>
    </xf>
    <xf numFmtId="3" fontId="19" fillId="0" borderId="25" xfId="0" applyNumberFormat="1" applyFont="1" applyFill="1" applyBorder="1" applyAlignment="1">
      <alignment vertical="center" wrapText="1"/>
    </xf>
    <xf numFmtId="3" fontId="19" fillId="0" borderId="31" xfId="0" applyNumberFormat="1" applyFont="1" applyFill="1" applyBorder="1" applyAlignment="1">
      <alignment vertical="center"/>
    </xf>
    <xf numFmtId="3" fontId="13" fillId="0" borderId="36" xfId="0" applyNumberFormat="1" applyFont="1" applyFill="1" applyBorder="1" applyAlignment="1">
      <alignment vertical="center" wrapText="1"/>
    </xf>
    <xf numFmtId="3" fontId="13" fillId="0" borderId="37" xfId="0" applyNumberFormat="1" applyFont="1" applyFill="1" applyBorder="1" applyAlignment="1">
      <alignment vertical="center"/>
    </xf>
    <xf numFmtId="3" fontId="19" fillId="0" borderId="36" xfId="0" applyNumberFormat="1" applyFont="1" applyFill="1" applyBorder="1" applyAlignment="1">
      <alignment vertical="center"/>
    </xf>
    <xf numFmtId="3" fontId="10" fillId="0" borderId="32" xfId="0" applyNumberFormat="1" applyFont="1" applyFill="1" applyBorder="1" applyAlignment="1">
      <alignment vertical="center"/>
    </xf>
    <xf numFmtId="0" fontId="13" fillId="0" borderId="29" xfId="0" applyFont="1" applyFill="1" applyBorder="1" applyAlignment="1">
      <alignment vertical="center"/>
    </xf>
    <xf numFmtId="3" fontId="14" fillId="0" borderId="32" xfId="0" applyNumberFormat="1" applyFont="1" applyFill="1" applyBorder="1" applyAlignment="1">
      <alignment vertical="center"/>
    </xf>
    <xf numFmtId="3" fontId="11" fillId="0" borderId="35" xfId="0" applyNumberFormat="1" applyFont="1" applyFill="1" applyBorder="1" applyAlignment="1">
      <alignment vertical="center"/>
    </xf>
    <xf numFmtId="0" fontId="13" fillId="0" borderId="34" xfId="0" applyFont="1" applyFill="1" applyBorder="1" applyAlignment="1">
      <alignment vertical="center"/>
    </xf>
    <xf numFmtId="3" fontId="10" fillId="0" borderId="39" xfId="0" applyNumberFormat="1" applyFont="1" applyFill="1" applyBorder="1" applyAlignment="1">
      <alignment vertical="center"/>
    </xf>
    <xf numFmtId="3" fontId="23" fillId="0" borderId="14" xfId="0" applyNumberFormat="1" applyFont="1" applyFill="1" applyBorder="1" applyAlignment="1">
      <alignment vertical="center"/>
    </xf>
    <xf numFmtId="3" fontId="23" fillId="0" borderId="27" xfId="0" applyNumberFormat="1" applyFont="1" applyFill="1" applyBorder="1" applyAlignment="1">
      <alignment vertical="center"/>
    </xf>
    <xf numFmtId="3" fontId="23" fillId="0" borderId="38" xfId="0" applyNumberFormat="1" applyFont="1" applyFill="1" applyBorder="1" applyAlignment="1">
      <alignment vertical="center"/>
    </xf>
    <xf numFmtId="0" fontId="14" fillId="0" borderId="29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0" fontId="14" fillId="0" borderId="40" xfId="0" applyFont="1" applyFill="1" applyBorder="1" applyAlignment="1">
      <alignment horizontal="left" vertical="center" wrapText="1"/>
    </xf>
    <xf numFmtId="3" fontId="14" fillId="0" borderId="27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0" fontId="14" fillId="0" borderId="41" xfId="0" applyFont="1" applyFill="1" applyBorder="1" applyAlignment="1">
      <alignment vertical="center"/>
    </xf>
    <xf numFmtId="3" fontId="11" fillId="0" borderId="30" xfId="0" applyNumberFormat="1" applyFont="1" applyFill="1" applyBorder="1" applyAlignment="1">
      <alignment vertical="center"/>
    </xf>
    <xf numFmtId="3" fontId="10" fillId="0" borderId="32" xfId="1" applyNumberFormat="1" applyFont="1" applyFill="1" applyBorder="1" applyAlignment="1">
      <alignment vertical="center"/>
    </xf>
    <xf numFmtId="0" fontId="18" fillId="0" borderId="29" xfId="0" applyFont="1" applyFill="1" applyBorder="1" applyAlignment="1">
      <alignment vertical="center"/>
    </xf>
    <xf numFmtId="3" fontId="13" fillId="0" borderId="25" xfId="0" applyNumberFormat="1" applyFont="1" applyFill="1" applyBorder="1" applyAlignment="1">
      <alignment vertical="center" wrapText="1"/>
    </xf>
    <xf numFmtId="3" fontId="13" fillId="0" borderId="31" xfId="0" applyNumberFormat="1" applyFont="1" applyFill="1" applyBorder="1" applyAlignment="1">
      <alignment vertical="center"/>
    </xf>
    <xf numFmtId="3" fontId="14" fillId="0" borderId="43" xfId="0" applyNumberFormat="1" applyFont="1" applyFill="1" applyBorder="1" applyAlignment="1">
      <alignment vertical="center"/>
    </xf>
    <xf numFmtId="3" fontId="13" fillId="0" borderId="43" xfId="0" applyNumberFormat="1" applyFont="1" applyFill="1" applyBorder="1" applyAlignment="1">
      <alignment vertical="center"/>
    </xf>
    <xf numFmtId="3" fontId="13" fillId="0" borderId="43" xfId="0" applyNumberFormat="1" applyFont="1" applyFill="1" applyBorder="1" applyAlignment="1">
      <alignment vertical="center" wrapText="1"/>
    </xf>
    <xf numFmtId="3" fontId="13" fillId="0" borderId="13" xfId="0" applyNumberFormat="1" applyFont="1" applyFill="1" applyBorder="1" applyAlignment="1">
      <alignment vertical="center"/>
    </xf>
    <xf numFmtId="0" fontId="19" fillId="0" borderId="17" xfId="0" applyFont="1" applyFill="1" applyBorder="1" applyAlignment="1">
      <alignment vertical="center"/>
    </xf>
    <xf numFmtId="3" fontId="23" fillId="0" borderId="27" xfId="0" applyNumberFormat="1" applyFont="1" applyFill="1" applyBorder="1" applyAlignment="1">
      <alignment vertical="center" wrapText="1"/>
    </xf>
    <xf numFmtId="0" fontId="14" fillId="0" borderId="20" xfId="0" applyFont="1" applyFill="1" applyBorder="1" applyAlignment="1">
      <alignment vertical="center"/>
    </xf>
    <xf numFmtId="3" fontId="10" fillId="0" borderId="15" xfId="0" applyNumberFormat="1" applyFont="1" applyFill="1" applyBorder="1" applyAlignment="1">
      <alignment vertical="center"/>
    </xf>
    <xf numFmtId="165" fontId="8" fillId="0" borderId="0" xfId="0" applyNumberFormat="1" applyFont="1" applyFill="1" applyAlignment="1">
      <alignment horizontal="right"/>
    </xf>
    <xf numFmtId="3" fontId="10" fillId="0" borderId="28" xfId="0" applyNumberFormat="1" applyFont="1" applyFill="1" applyBorder="1"/>
    <xf numFmtId="165" fontId="12" fillId="0" borderId="0" xfId="0" applyNumberFormat="1" applyFont="1" applyFill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165" fontId="11" fillId="0" borderId="0" xfId="0" applyNumberFormat="1" applyFont="1" applyFill="1"/>
    <xf numFmtId="3" fontId="8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Font="1" applyFill="1"/>
    <xf numFmtId="0" fontId="0" fillId="0" borderId="0" xfId="0" applyFill="1" applyAlignment="1">
      <alignment horizontal="right"/>
    </xf>
    <xf numFmtId="3" fontId="10" fillId="0" borderId="19" xfId="1" applyNumberFormat="1" applyFont="1" applyFill="1" applyBorder="1" applyAlignment="1">
      <alignment vertical="center"/>
    </xf>
    <xf numFmtId="3" fontId="10" fillId="0" borderId="1" xfId="1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horizontal="center" vertical="center" wrapText="1"/>
    </xf>
    <xf numFmtId="3" fontId="10" fillId="0" borderId="44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3" fillId="0" borderId="40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3" fontId="10" fillId="0" borderId="25" xfId="0" applyNumberFormat="1" applyFont="1" applyFill="1" applyBorder="1" applyAlignment="1">
      <alignment vertical="center"/>
    </xf>
    <xf numFmtId="3" fontId="29" fillId="0" borderId="15" xfId="0" applyNumberFormat="1" applyFont="1" applyFill="1" applyBorder="1" applyAlignment="1">
      <alignment vertical="center"/>
    </xf>
    <xf numFmtId="49" fontId="14" fillId="0" borderId="36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165" fontId="30" fillId="0" borderId="0" xfId="0" applyNumberFormat="1" applyFont="1" applyFill="1" applyAlignment="1">
      <alignment horizontal="right"/>
    </xf>
    <xf numFmtId="0" fontId="32" fillId="0" borderId="16" xfId="0" applyFont="1" applyFill="1" applyBorder="1" applyAlignment="1">
      <alignment horizontal="center" vertical="center" wrapText="1"/>
    </xf>
    <xf numFmtId="3" fontId="39" fillId="0" borderId="0" xfId="0" applyNumberFormat="1" applyFont="1" applyFill="1"/>
    <xf numFmtId="2" fontId="40" fillId="2" borderId="0" xfId="0" applyNumberFormat="1" applyFont="1" applyFill="1"/>
    <xf numFmtId="0" fontId="24" fillId="0" borderId="0" xfId="0" applyFont="1" applyFill="1" applyAlignment="1"/>
    <xf numFmtId="0" fontId="34" fillId="0" borderId="16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3" fontId="13" fillId="0" borderId="0" xfId="0" applyNumberFormat="1" applyFont="1" applyFill="1" applyBorder="1"/>
    <xf numFmtId="3" fontId="8" fillId="0" borderId="0" xfId="0" applyNumberFormat="1" applyFont="1" applyFill="1" applyAlignment="1"/>
    <xf numFmtId="0" fontId="14" fillId="0" borderId="40" xfId="0" applyFont="1" applyFill="1" applyBorder="1" applyAlignment="1">
      <alignment vertical="center"/>
    </xf>
    <xf numFmtId="0" fontId="14" fillId="0" borderId="34" xfId="0" applyFont="1" applyFill="1" applyBorder="1" applyAlignment="1">
      <alignment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8" fillId="0" borderId="16" xfId="0" applyFont="1" applyFill="1" applyBorder="1" applyAlignment="1">
      <alignment horizontal="center" vertical="center" wrapText="1"/>
    </xf>
    <xf numFmtId="3" fontId="13" fillId="0" borderId="22" xfId="0" applyNumberFormat="1" applyFont="1" applyFill="1" applyBorder="1" applyAlignment="1">
      <alignment horizontal="center" vertical="center" wrapText="1"/>
    </xf>
    <xf numFmtId="3" fontId="13" fillId="0" borderId="12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/>
    <xf numFmtId="3" fontId="10" fillId="0" borderId="25" xfId="0" applyNumberFormat="1" applyFont="1" applyFill="1" applyBorder="1"/>
    <xf numFmtId="0" fontId="4" fillId="0" borderId="27" xfId="0" applyFont="1" applyFill="1" applyBorder="1" applyAlignment="1">
      <alignment horizontal="center" vertical="center" wrapText="1"/>
    </xf>
    <xf numFmtId="3" fontId="19" fillId="0" borderId="16" xfId="0" applyNumberFormat="1" applyFont="1" applyFill="1" applyBorder="1" applyAlignment="1">
      <alignment vertical="center"/>
    </xf>
    <xf numFmtId="3" fontId="10" fillId="0" borderId="33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4" fillId="0" borderId="18" xfId="0" applyFont="1" applyFill="1" applyBorder="1" applyAlignment="1">
      <alignment vertical="center"/>
    </xf>
    <xf numFmtId="3" fontId="10" fillId="0" borderId="31" xfId="0" applyNumberFormat="1" applyFont="1" applyFill="1" applyBorder="1" applyAlignment="1">
      <alignment vertical="center"/>
    </xf>
    <xf numFmtId="3" fontId="14" fillId="0" borderId="45" xfId="0" applyNumberFormat="1" applyFont="1" applyFill="1" applyBorder="1" applyAlignment="1">
      <alignment vertical="center"/>
    </xf>
    <xf numFmtId="3" fontId="10" fillId="0" borderId="33" xfId="1" applyNumberFormat="1" applyFont="1" applyFill="1" applyBorder="1" applyAlignment="1">
      <alignment vertical="center"/>
    </xf>
    <xf numFmtId="0" fontId="11" fillId="0" borderId="46" xfId="0" applyFont="1" applyFill="1" applyBorder="1"/>
    <xf numFmtId="0" fontId="11" fillId="0" borderId="8" xfId="0" applyFont="1" applyFill="1" applyBorder="1"/>
    <xf numFmtId="165" fontId="8" fillId="0" borderId="8" xfId="0" applyNumberFormat="1" applyFont="1" applyFill="1" applyBorder="1" applyAlignment="1">
      <alignment horizontal="right"/>
    </xf>
    <xf numFmtId="0" fontId="41" fillId="0" borderId="15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/>
    <xf numFmtId="3" fontId="26" fillId="0" borderId="0" xfId="0" applyNumberFormat="1" applyFont="1" applyFill="1" applyBorder="1"/>
    <xf numFmtId="3" fontId="13" fillId="0" borderId="1" xfId="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center"/>
    </xf>
    <xf numFmtId="3" fontId="13" fillId="0" borderId="0" xfId="0" applyNumberFormat="1" applyFont="1" applyFill="1" applyBorder="1" applyAlignment="1">
      <alignment vertical="center"/>
    </xf>
    <xf numFmtId="2" fontId="40" fillId="0" borderId="0" xfId="0" applyNumberFormat="1" applyFont="1" applyFill="1"/>
    <xf numFmtId="3" fontId="14" fillId="0" borderId="4" xfId="0" applyNumberFormat="1" applyFont="1" applyFill="1" applyBorder="1" applyAlignment="1">
      <alignment vertical="center"/>
    </xf>
    <xf numFmtId="3" fontId="13" fillId="0" borderId="19" xfId="0" applyNumberFormat="1" applyFont="1" applyFill="1" applyBorder="1" applyAlignment="1">
      <alignment vertical="center"/>
    </xf>
    <xf numFmtId="3" fontId="10" fillId="0" borderId="19" xfId="0" applyNumberFormat="1" applyFont="1" applyFill="1" applyBorder="1" applyAlignment="1">
      <alignment vertical="center"/>
    </xf>
    <xf numFmtId="3" fontId="13" fillId="0" borderId="4" xfId="0" applyNumberFormat="1" applyFont="1" applyFill="1" applyBorder="1" applyAlignment="1">
      <alignment vertical="center"/>
    </xf>
    <xf numFmtId="3" fontId="14" fillId="0" borderId="26" xfId="0" applyNumberFormat="1" applyFont="1" applyFill="1" applyBorder="1" applyAlignment="1">
      <alignment vertical="center"/>
    </xf>
    <xf numFmtId="3" fontId="19" fillId="0" borderId="4" xfId="0" applyNumberFormat="1" applyFont="1" applyFill="1" applyBorder="1" applyAlignment="1">
      <alignment vertical="center"/>
    </xf>
    <xf numFmtId="3" fontId="20" fillId="0" borderId="26" xfId="0" applyNumberFormat="1" applyFont="1" applyFill="1" applyBorder="1" applyAlignment="1">
      <alignment vertical="center"/>
    </xf>
    <xf numFmtId="3" fontId="23" fillId="0" borderId="6" xfId="0" applyNumberFormat="1" applyFont="1" applyFill="1" applyBorder="1" applyAlignment="1">
      <alignment vertical="center"/>
    </xf>
    <xf numFmtId="3" fontId="20" fillId="0" borderId="36" xfId="0" applyNumberFormat="1" applyFont="1" applyFill="1" applyBorder="1" applyAlignment="1">
      <alignment vertical="center"/>
    </xf>
    <xf numFmtId="3" fontId="23" fillId="0" borderId="7" xfId="0" applyNumberFormat="1" applyFont="1" applyFill="1" applyBorder="1" applyAlignment="1">
      <alignment vertical="center"/>
    </xf>
    <xf numFmtId="3" fontId="10" fillId="0" borderId="4" xfId="0" applyNumberFormat="1" applyFont="1" applyFill="1" applyBorder="1" applyAlignment="1">
      <alignment vertical="center"/>
    </xf>
    <xf numFmtId="3" fontId="10" fillId="0" borderId="40" xfId="0" applyNumberFormat="1" applyFont="1" applyFill="1" applyBorder="1" applyAlignment="1">
      <alignment vertical="center"/>
    </xf>
    <xf numFmtId="3" fontId="14" fillId="0" borderId="5" xfId="0" applyNumberFormat="1" applyFont="1" applyFill="1" applyBorder="1" applyAlignment="1">
      <alignment vertical="center"/>
    </xf>
    <xf numFmtId="3" fontId="14" fillId="0" borderId="13" xfId="0" applyNumberFormat="1" applyFont="1" applyFill="1" applyBorder="1" applyAlignment="1">
      <alignment horizontal="center" vertical="center" wrapText="1"/>
    </xf>
    <xf numFmtId="3" fontId="42" fillId="0" borderId="4" xfId="0" applyNumberFormat="1" applyFont="1" applyFill="1" applyBorder="1" applyAlignment="1">
      <alignment vertical="center"/>
    </xf>
    <xf numFmtId="3" fontId="42" fillId="0" borderId="19" xfId="0" applyNumberFormat="1" applyFont="1" applyFill="1" applyBorder="1" applyAlignment="1">
      <alignment vertical="center"/>
    </xf>
    <xf numFmtId="3" fontId="42" fillId="0" borderId="1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horizontal="center" vertical="center" wrapText="1"/>
    </xf>
    <xf numFmtId="169" fontId="42" fillId="0" borderId="0" xfId="0" applyNumberFormat="1" applyFont="1" applyFill="1"/>
    <xf numFmtId="3" fontId="31" fillId="0" borderId="0" xfId="0" applyNumberFormat="1" applyFont="1" applyFill="1" applyAlignment="1">
      <alignment horizontal="right" wrapText="1"/>
    </xf>
    <xf numFmtId="165" fontId="8" fillId="3" borderId="0" xfId="0" applyNumberFormat="1" applyFont="1" applyFill="1" applyAlignment="1">
      <alignment horizontal="right"/>
    </xf>
    <xf numFmtId="3" fontId="10" fillId="4" borderId="0" xfId="0" applyNumberFormat="1" applyFont="1" applyFill="1" applyBorder="1" applyAlignment="1">
      <alignment vertical="center" wrapText="1"/>
    </xf>
    <xf numFmtId="3" fontId="27" fillId="4" borderId="0" xfId="0" applyNumberFormat="1" applyFont="1" applyFill="1" applyBorder="1" applyAlignment="1">
      <alignment horizontal="center"/>
    </xf>
    <xf numFmtId="3" fontId="27" fillId="4" borderId="0" xfId="0" applyNumberFormat="1" applyFont="1" applyFill="1" applyBorder="1"/>
    <xf numFmtId="3" fontId="13" fillId="0" borderId="23" xfId="0" applyNumberFormat="1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vertical="center"/>
    </xf>
    <xf numFmtId="0" fontId="14" fillId="3" borderId="29" xfId="0" applyFont="1" applyFill="1" applyBorder="1" applyAlignment="1">
      <alignment vertical="center"/>
    </xf>
    <xf numFmtId="3" fontId="13" fillId="3" borderId="21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vertical="center"/>
    </xf>
    <xf numFmtId="3" fontId="14" fillId="3" borderId="2" xfId="0" applyNumberFormat="1" applyFont="1" applyFill="1" applyBorder="1" applyAlignment="1">
      <alignment horizontal="center" vertical="center" wrapText="1"/>
    </xf>
    <xf numFmtId="3" fontId="13" fillId="3" borderId="11" xfId="0" applyNumberFormat="1" applyFont="1" applyFill="1" applyBorder="1" applyAlignment="1">
      <alignment horizontal="center" vertical="center" wrapText="1"/>
    </xf>
    <xf numFmtId="0" fontId="14" fillId="3" borderId="34" xfId="0" applyFont="1" applyFill="1" applyBorder="1" applyAlignment="1">
      <alignment vertical="center"/>
    </xf>
    <xf numFmtId="0" fontId="14" fillId="3" borderId="0" xfId="0" applyFont="1" applyFill="1" applyBorder="1" applyAlignment="1">
      <alignment vertical="center"/>
    </xf>
    <xf numFmtId="3" fontId="13" fillId="3" borderId="2" xfId="0" applyNumberFormat="1" applyFont="1" applyFill="1" applyBorder="1" applyAlignment="1">
      <alignment horizontal="center" vertical="center" wrapText="1"/>
    </xf>
    <xf numFmtId="3" fontId="13" fillId="3" borderId="24" xfId="0" applyNumberFormat="1" applyFont="1" applyFill="1" applyBorder="1" applyAlignment="1">
      <alignment horizontal="center" vertical="center" wrapText="1"/>
    </xf>
    <xf numFmtId="3" fontId="13" fillId="3" borderId="22" xfId="0" applyNumberFormat="1" applyFont="1" applyFill="1" applyBorder="1" applyAlignment="1">
      <alignment horizontal="center" vertical="center" wrapText="1"/>
    </xf>
    <xf numFmtId="3" fontId="14" fillId="3" borderId="10" xfId="0" applyNumberFormat="1" applyFont="1" applyFill="1" applyBorder="1" applyAlignment="1">
      <alignment horizontal="center" vertical="center" wrapText="1"/>
    </xf>
    <xf numFmtId="3" fontId="13" fillId="3" borderId="33" xfId="0" applyNumberFormat="1" applyFont="1" applyFill="1" applyBorder="1" applyAlignment="1">
      <alignment vertical="center"/>
    </xf>
    <xf numFmtId="0" fontId="14" fillId="3" borderId="34" xfId="0" applyFont="1" applyFill="1" applyBorder="1" applyAlignment="1">
      <alignment vertical="center" wrapText="1"/>
    </xf>
    <xf numFmtId="3" fontId="13" fillId="3" borderId="1" xfId="0" applyNumberFormat="1" applyFont="1" applyFill="1" applyBorder="1" applyAlignment="1">
      <alignment horizontal="right" vertical="center"/>
    </xf>
    <xf numFmtId="3" fontId="13" fillId="3" borderId="25" xfId="0" applyNumberFormat="1" applyFont="1" applyFill="1" applyBorder="1" applyAlignment="1">
      <alignment vertical="center"/>
    </xf>
    <xf numFmtId="3" fontId="13" fillId="3" borderId="10" xfId="0" applyNumberFormat="1" applyFont="1" applyFill="1" applyBorder="1" applyAlignment="1">
      <alignment horizontal="center" vertical="center" wrapText="1"/>
    </xf>
    <xf numFmtId="3" fontId="19" fillId="3" borderId="27" xfId="0" applyNumberFormat="1" applyFont="1" applyFill="1" applyBorder="1" applyAlignment="1">
      <alignment vertical="center"/>
    </xf>
    <xf numFmtId="0" fontId="14" fillId="3" borderId="29" xfId="0" applyFont="1" applyFill="1" applyBorder="1" applyAlignment="1">
      <alignment vertical="center" wrapText="1"/>
    </xf>
    <xf numFmtId="0" fontId="19" fillId="3" borderId="17" xfId="0" applyFont="1" applyFill="1" applyBorder="1" applyAlignment="1">
      <alignment vertical="center"/>
    </xf>
    <xf numFmtId="3" fontId="13" fillId="5" borderId="2" xfId="0" applyNumberFormat="1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vertical="center"/>
    </xf>
    <xf numFmtId="0" fontId="14" fillId="5" borderId="40" xfId="0" applyFont="1" applyFill="1" applyBorder="1" applyAlignment="1">
      <alignment vertical="center"/>
    </xf>
    <xf numFmtId="3" fontId="14" fillId="0" borderId="14" xfId="0" applyNumberFormat="1" applyFont="1" applyFill="1" applyBorder="1" applyAlignment="1">
      <alignment horizontal="center" vertical="center" wrapText="1"/>
    </xf>
    <xf numFmtId="3" fontId="14" fillId="0" borderId="16" xfId="0" applyNumberFormat="1" applyFont="1" applyFill="1" applyBorder="1" applyAlignment="1">
      <alignment horizontal="center" vertical="center" wrapText="1"/>
    </xf>
    <xf numFmtId="3" fontId="13" fillId="3" borderId="14" xfId="0" applyNumberFormat="1" applyFont="1" applyFill="1" applyBorder="1" applyAlignment="1">
      <alignment horizontal="center" vertical="center" wrapText="1"/>
    </xf>
    <xf numFmtId="3" fontId="13" fillId="3" borderId="16" xfId="0" applyNumberFormat="1" applyFont="1" applyFill="1" applyBorder="1" applyAlignment="1">
      <alignment horizontal="center" vertical="center" wrapText="1"/>
    </xf>
    <xf numFmtId="3" fontId="13" fillId="0" borderId="14" xfId="0" applyNumberFormat="1" applyFont="1" applyFill="1" applyBorder="1" applyAlignment="1">
      <alignment horizontal="center" vertical="center" wrapText="1"/>
    </xf>
    <xf numFmtId="3" fontId="13" fillId="0" borderId="16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66"/>
      <color rgb="FFCCECFF"/>
      <color rgb="FF00FF00"/>
      <color rgb="FF99FF99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60"/>
  <sheetViews>
    <sheetView tabSelected="1" zoomScale="80" zoomScaleNormal="80" zoomScaleSheetLayoutView="75" workbookViewId="0">
      <pane xSplit="4" ySplit="17" topLeftCell="F200" activePane="bottomRight" state="frozen"/>
      <selection pane="topRight" activeCell="I1" sqref="I1"/>
      <selection pane="bottomLeft" activeCell="A19" sqref="A19"/>
      <selection pane="bottomRight" activeCell="L16" sqref="L16"/>
    </sheetView>
  </sheetViews>
  <sheetFormatPr defaultRowHeight="12.75" x14ac:dyDescent="0.2"/>
  <cols>
    <col min="1" max="1" width="6" style="1" customWidth="1"/>
    <col min="2" max="2" width="5.5703125" style="1" customWidth="1"/>
    <col min="3" max="3" width="57.28515625" style="1" customWidth="1"/>
    <col min="4" max="4" width="13.42578125" style="1" customWidth="1"/>
    <col min="5" max="5" width="13.42578125" style="1" hidden="1" customWidth="1"/>
    <col min="6" max="6" width="13.5703125" style="1" bestFit="1" customWidth="1"/>
    <col min="7" max="8" width="12" style="1" customWidth="1"/>
    <col min="9" max="9" width="8.140625" style="1" customWidth="1"/>
    <col min="10" max="10" width="9.28515625" style="1" customWidth="1"/>
    <col min="11" max="11" width="12.140625" style="1" customWidth="1"/>
    <col min="12" max="13" width="10.7109375" style="1" customWidth="1"/>
    <col min="14" max="14" width="8.140625" style="1" customWidth="1"/>
    <col min="15" max="15" width="9.7109375" style="1" hidden="1" customWidth="1"/>
    <col min="16" max="16" width="8.5703125" style="1" hidden="1" customWidth="1"/>
    <col min="17" max="17" width="9.140625" style="1" customWidth="1"/>
    <col min="18" max="18" width="11" style="1" customWidth="1"/>
    <col min="19" max="19" width="11.140625" style="1" hidden="1" customWidth="1"/>
    <col min="20" max="20" width="9.28515625" style="1" bestFit="1" customWidth="1"/>
    <col min="21" max="21" width="10.85546875" style="1" customWidth="1"/>
    <col min="22" max="22" width="10.42578125" style="1" hidden="1" customWidth="1"/>
    <col min="23" max="23" width="10" style="1" customWidth="1"/>
    <col min="24" max="24" width="10" style="1" hidden="1" customWidth="1"/>
    <col min="25" max="25" width="9.7109375" style="1" customWidth="1"/>
    <col min="26" max="26" width="10.28515625" style="1" hidden="1" customWidth="1"/>
    <col min="27" max="27" width="9.28515625" style="1" customWidth="1"/>
    <col min="28" max="28" width="10.85546875" style="1" customWidth="1"/>
    <col min="29" max="29" width="8.7109375" style="1" customWidth="1"/>
    <col min="30" max="30" width="10.140625" style="1" hidden="1" customWidth="1"/>
    <col min="31" max="31" width="11.140625" style="1" customWidth="1"/>
    <col min="32" max="32" width="9.42578125" style="1" customWidth="1"/>
    <col min="33" max="33" width="11.140625" style="1" customWidth="1"/>
    <col min="34" max="34" width="9.42578125" style="1" customWidth="1"/>
    <col min="35" max="35" width="8.5703125" style="1" customWidth="1"/>
    <col min="36" max="36" width="8.140625" style="1" hidden="1" customWidth="1"/>
    <col min="37" max="38" width="8.85546875" style="1" customWidth="1"/>
    <col min="39" max="40" width="9.5703125" style="1" customWidth="1"/>
    <col min="41" max="41" width="9.140625" style="1" customWidth="1"/>
    <col min="42" max="43" width="8.5703125" style="1" customWidth="1"/>
    <col min="44" max="44" width="10.7109375" style="1" customWidth="1"/>
    <col min="45" max="45" width="12.140625" style="1" customWidth="1"/>
    <col min="46" max="46" width="9.140625" style="1" customWidth="1"/>
    <col min="47" max="47" width="11.140625" style="1" customWidth="1"/>
    <col min="48" max="48" width="12" style="1" customWidth="1"/>
    <col min="49" max="49" width="9.42578125" style="1" customWidth="1"/>
    <col min="50" max="50" width="10.85546875" style="1" customWidth="1"/>
    <col min="51" max="51" width="10.7109375" style="1" customWidth="1"/>
    <col min="52" max="52" width="10.7109375" style="1" hidden="1" customWidth="1"/>
    <col min="53" max="53" width="10" style="1" hidden="1" customWidth="1"/>
    <col min="54" max="54" width="10.5703125" style="1" customWidth="1"/>
    <col min="55" max="55" width="8.85546875" style="1" hidden="1" customWidth="1"/>
    <col min="56" max="56" width="13.7109375" style="1" hidden="1" customWidth="1"/>
    <col min="57" max="57" width="10.7109375" style="1" customWidth="1"/>
    <col min="58" max="58" width="11.42578125" style="1" hidden="1" customWidth="1"/>
    <col min="59" max="59" width="10.85546875" style="1" hidden="1" customWidth="1"/>
    <col min="60" max="60" width="11" style="1" customWidth="1"/>
    <col min="61" max="61" width="9.140625" style="1"/>
    <col min="62" max="62" width="9.85546875" style="1" bestFit="1" customWidth="1"/>
    <col min="63" max="16384" width="9.140625" style="1"/>
  </cols>
  <sheetData>
    <row r="1" spans="1:60" ht="15" customHeight="1" x14ac:dyDescent="0.25">
      <c r="A1" s="15"/>
      <c r="B1" s="15"/>
      <c r="C1" s="15"/>
      <c r="D1" s="15"/>
      <c r="E1" s="15"/>
      <c r="F1" s="15"/>
      <c r="G1" s="55"/>
      <c r="H1" s="55"/>
      <c r="I1" s="15"/>
      <c r="J1" s="15"/>
      <c r="L1" s="60"/>
      <c r="M1" s="61" t="s">
        <v>304</v>
      </c>
      <c r="O1" s="15"/>
      <c r="P1" s="62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63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64"/>
      <c r="BF1" s="15"/>
      <c r="BG1" s="15"/>
      <c r="BH1" s="15"/>
    </row>
    <row r="2" spans="1:60" ht="18.75" customHeight="1" x14ac:dyDescent="0.25">
      <c r="A2" s="15"/>
      <c r="B2" s="15"/>
      <c r="C2" s="15"/>
      <c r="D2" s="15"/>
      <c r="E2" s="15"/>
      <c r="F2" s="15"/>
      <c r="I2" s="15"/>
      <c r="J2" s="15"/>
      <c r="L2" s="60"/>
      <c r="M2" s="65"/>
      <c r="O2" s="15"/>
      <c r="P2" s="62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</row>
    <row r="3" spans="1:60" ht="15" customHeight="1" x14ac:dyDescent="0.25">
      <c r="A3" s="15"/>
      <c r="B3" s="15"/>
      <c r="C3" s="15"/>
      <c r="D3" s="15"/>
      <c r="E3" s="15"/>
      <c r="F3" s="15"/>
      <c r="I3" s="15"/>
      <c r="J3" s="15"/>
      <c r="L3" s="60"/>
      <c r="M3" s="9" t="s">
        <v>219</v>
      </c>
      <c r="O3" s="15"/>
      <c r="P3" s="62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</row>
    <row r="4" spans="1:60" ht="14.25" customHeight="1" x14ac:dyDescent="0.25">
      <c r="A4" s="15"/>
      <c r="B4" s="15"/>
      <c r="C4" s="15"/>
      <c r="D4" s="15"/>
      <c r="E4" s="15"/>
      <c r="F4" s="15"/>
      <c r="I4" s="15"/>
      <c r="J4" s="15"/>
      <c r="L4" s="60"/>
      <c r="M4" s="9" t="s">
        <v>220</v>
      </c>
      <c r="O4" s="15"/>
      <c r="P4" s="66"/>
      <c r="Q4" s="15"/>
      <c r="R4" s="15"/>
      <c r="S4" s="15"/>
      <c r="T4" s="15"/>
      <c r="U4" s="15"/>
      <c r="V4" s="15"/>
      <c r="W4" s="66"/>
      <c r="X4" s="66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</row>
    <row r="5" spans="1:60" ht="13.5" customHeight="1" x14ac:dyDescent="0.25">
      <c r="A5" s="15"/>
      <c r="B5" s="15"/>
      <c r="C5" s="15"/>
      <c r="D5" s="15"/>
      <c r="E5" s="15"/>
      <c r="F5" s="15"/>
      <c r="I5" s="15"/>
      <c r="J5" s="15"/>
      <c r="L5" s="60"/>
      <c r="M5" s="9" t="s">
        <v>330</v>
      </c>
      <c r="O5" s="15"/>
      <c r="P5" s="66"/>
      <c r="Q5" s="15"/>
      <c r="R5" s="15"/>
      <c r="S5" s="15"/>
      <c r="T5" s="15"/>
      <c r="U5" s="15"/>
      <c r="V5" s="15"/>
      <c r="W5" s="66"/>
      <c r="X5" s="66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</row>
    <row r="6" spans="1:60" ht="15" customHeight="1" x14ac:dyDescent="0.25">
      <c r="A6" s="15"/>
      <c r="B6" s="15"/>
      <c r="C6" s="15"/>
      <c r="D6" s="15"/>
      <c r="E6" s="15"/>
      <c r="F6" s="15"/>
      <c r="I6" s="15"/>
      <c r="J6" s="15"/>
      <c r="L6" s="60"/>
      <c r="M6" s="9" t="s">
        <v>221</v>
      </c>
      <c r="O6" s="15"/>
      <c r="P6" s="66"/>
      <c r="Q6" s="15"/>
      <c r="R6" s="15"/>
      <c r="S6" s="15"/>
      <c r="T6" s="15"/>
      <c r="U6" s="15"/>
      <c r="V6" s="15"/>
      <c r="W6" s="66"/>
      <c r="X6" s="66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</row>
    <row r="7" spans="1:60" ht="15" customHeight="1" x14ac:dyDescent="0.25">
      <c r="A7" s="15"/>
      <c r="B7" s="15"/>
      <c r="C7" s="16"/>
      <c r="D7" s="15"/>
      <c r="E7" s="15"/>
      <c r="F7" s="15"/>
      <c r="G7" s="2"/>
      <c r="I7" s="15"/>
      <c r="J7" s="15"/>
      <c r="L7" s="60"/>
      <c r="M7" s="9" t="s">
        <v>222</v>
      </c>
      <c r="O7" s="15"/>
      <c r="P7" s="66"/>
      <c r="Q7" s="15"/>
      <c r="R7" s="15"/>
      <c r="S7" s="15"/>
      <c r="T7" s="15"/>
      <c r="U7" s="15"/>
      <c r="V7" s="15"/>
      <c r="W7" s="66"/>
      <c r="X7" s="66"/>
      <c r="Y7" s="15"/>
      <c r="Z7" s="15"/>
      <c r="AA7" s="15"/>
      <c r="AB7" s="15"/>
      <c r="AC7" s="15"/>
      <c r="AD7" s="15"/>
      <c r="AE7" s="15"/>
      <c r="AF7" s="15"/>
      <c r="AG7" s="217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67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</row>
    <row r="8" spans="1:60" ht="15" customHeight="1" x14ac:dyDescent="0.25">
      <c r="A8" s="15"/>
      <c r="B8" s="15"/>
      <c r="C8" s="16"/>
      <c r="D8" s="15"/>
      <c r="E8" s="15"/>
      <c r="F8" s="16"/>
      <c r="G8" s="16"/>
      <c r="I8" s="15"/>
      <c r="J8" s="15"/>
      <c r="L8" s="60"/>
      <c r="M8" s="9" t="s">
        <v>331</v>
      </c>
      <c r="O8" s="15"/>
      <c r="P8" s="15"/>
      <c r="Q8" s="15"/>
      <c r="R8" s="53"/>
      <c r="S8" s="53"/>
      <c r="T8" s="53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217"/>
      <c r="AH8" s="15"/>
      <c r="AI8" s="15"/>
      <c r="AJ8" s="15"/>
      <c r="AK8" s="15"/>
      <c r="AL8" s="15"/>
      <c r="AM8" s="15"/>
      <c r="AN8" s="21"/>
      <c r="AO8" s="43"/>
      <c r="AP8" s="43"/>
      <c r="AQ8" s="43"/>
      <c r="AR8" s="21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</row>
    <row r="9" spans="1:60" ht="14.25" customHeight="1" x14ac:dyDescent="0.25">
      <c r="A9" s="15"/>
      <c r="B9" s="15"/>
      <c r="C9" s="15"/>
      <c r="D9" s="16"/>
      <c r="E9" s="16"/>
      <c r="F9" s="16"/>
      <c r="I9" s="15"/>
      <c r="J9" s="15"/>
      <c r="L9" s="60"/>
      <c r="M9" s="9" t="s">
        <v>223</v>
      </c>
      <c r="O9" s="15"/>
      <c r="P9" s="15"/>
      <c r="Q9" s="68"/>
      <c r="R9" s="54"/>
      <c r="S9" s="54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217"/>
      <c r="AH9" s="15"/>
      <c r="AI9" s="15"/>
      <c r="AJ9" s="15"/>
      <c r="AK9" s="15"/>
      <c r="AL9" s="15"/>
      <c r="AM9" s="15"/>
      <c r="AN9" s="21"/>
      <c r="AO9" s="44"/>
      <c r="AP9" s="44"/>
      <c r="AQ9" s="44"/>
      <c r="AR9" s="21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ht="14.25" customHeight="1" x14ac:dyDescent="0.25">
      <c r="A10" s="15"/>
      <c r="B10" s="15"/>
      <c r="C10" s="15"/>
      <c r="D10" s="16"/>
      <c r="E10" s="15"/>
      <c r="F10" s="273" t="s">
        <v>305</v>
      </c>
      <c r="G10" s="273"/>
      <c r="H10" s="273"/>
      <c r="I10" s="273"/>
      <c r="J10" s="273"/>
      <c r="K10" s="273"/>
      <c r="L10" s="273"/>
      <c r="M10" s="15"/>
      <c r="O10" s="15"/>
      <c r="P10" s="15"/>
      <c r="Q10" s="68"/>
      <c r="R10" s="54"/>
      <c r="S10" s="54"/>
      <c r="T10" s="15"/>
      <c r="U10" s="16"/>
      <c r="V10" s="16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21"/>
      <c r="AO10" s="44"/>
      <c r="AP10" s="44"/>
      <c r="AQ10" s="44"/>
      <c r="AR10" s="21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</row>
    <row r="11" spans="1:60" ht="17.25" customHeight="1" x14ac:dyDescent="0.25">
      <c r="A11" s="15"/>
      <c r="B11" s="15"/>
      <c r="C11" s="15"/>
      <c r="D11" s="181">
        <f>D17/(D208-D200-D149)*100</f>
        <v>7.0301198606869759</v>
      </c>
      <c r="E11" s="218">
        <f>E17/(E208-E200-E149)*100</f>
        <v>7.1930933940210995</v>
      </c>
      <c r="F11" s="273" t="s">
        <v>323</v>
      </c>
      <c r="G11" s="273"/>
      <c r="H11" s="273"/>
      <c r="I11" s="273"/>
      <c r="J11" s="273"/>
      <c r="K11" s="273"/>
      <c r="L11" s="273"/>
      <c r="M11" s="182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21"/>
      <c r="AO11" s="21"/>
      <c r="AP11" s="21"/>
      <c r="AQ11" s="21"/>
      <c r="AR11" s="186">
        <f>AR146-AR149-AR159</f>
        <v>314601</v>
      </c>
      <c r="AS11" s="15"/>
      <c r="AT11" s="15"/>
      <c r="AU11" s="69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ht="10.5" customHeight="1" thickBot="1" x14ac:dyDescent="0.3">
      <c r="A12" s="15"/>
      <c r="B12" s="15"/>
      <c r="C12" s="16"/>
      <c r="D12" s="15"/>
      <c r="E12" s="15"/>
      <c r="F12" s="216"/>
      <c r="G12" s="216"/>
      <c r="H12" s="216"/>
      <c r="I12" s="216"/>
      <c r="J12" s="216"/>
      <c r="K12" s="216"/>
      <c r="L12" s="216"/>
      <c r="M12" s="15"/>
      <c r="N12" s="15"/>
      <c r="O12" s="15"/>
      <c r="P12" s="15"/>
      <c r="Q12" s="16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21"/>
      <c r="AO12" s="21"/>
      <c r="AP12" s="21"/>
      <c r="AQ12" s="21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ht="15.75" hidden="1" thickBot="1" x14ac:dyDescent="0.3">
      <c r="A13" s="15"/>
      <c r="B13" s="15"/>
      <c r="C13" s="16"/>
      <c r="D13" s="16"/>
      <c r="E13" s="16"/>
      <c r="F13" s="274"/>
      <c r="G13" s="274"/>
      <c r="H13" s="274"/>
      <c r="I13" s="274"/>
      <c r="J13" s="274"/>
      <c r="K13" s="274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7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27"/>
      <c r="AO13" s="27"/>
      <c r="AP13" s="27"/>
      <c r="AQ13" s="27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</row>
    <row r="14" spans="1:60" ht="9.75" hidden="1" customHeight="1" thickBot="1" x14ac:dyDescent="0.3">
      <c r="A14" s="15"/>
      <c r="B14" s="15"/>
      <c r="C14" s="15"/>
      <c r="D14" s="16"/>
      <c r="E14" s="16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48" customHeight="1" thickBot="1" x14ac:dyDescent="0.25">
      <c r="A15" s="275" t="s">
        <v>0</v>
      </c>
      <c r="B15" s="276"/>
      <c r="C15" s="277" t="s">
        <v>1</v>
      </c>
      <c r="D15" s="279" t="s">
        <v>298</v>
      </c>
      <c r="E15" s="281" t="s">
        <v>282</v>
      </c>
      <c r="F15" s="190" t="s">
        <v>2</v>
      </c>
      <c r="G15" s="37" t="s">
        <v>64</v>
      </c>
      <c r="H15" s="37" t="s">
        <v>65</v>
      </c>
      <c r="I15" s="38" t="s">
        <v>66</v>
      </c>
      <c r="J15" s="39" t="s">
        <v>67</v>
      </c>
      <c r="K15" s="39" t="s">
        <v>3</v>
      </c>
      <c r="L15" s="38" t="s">
        <v>68</v>
      </c>
      <c r="M15" s="39" t="s">
        <v>235</v>
      </c>
      <c r="N15" s="191" t="s">
        <v>288</v>
      </c>
      <c r="O15" s="70" t="s">
        <v>232</v>
      </c>
      <c r="P15" s="37" t="s">
        <v>69</v>
      </c>
      <c r="Q15" s="192" t="s">
        <v>70</v>
      </c>
      <c r="R15" s="179" t="s">
        <v>299</v>
      </c>
      <c r="S15" s="179" t="s">
        <v>283</v>
      </c>
      <c r="T15" s="38" t="s">
        <v>289</v>
      </c>
      <c r="U15" s="193" t="s">
        <v>300</v>
      </c>
      <c r="V15" s="183" t="s">
        <v>284</v>
      </c>
      <c r="W15" s="194" t="s">
        <v>301</v>
      </c>
      <c r="X15" s="184" t="s">
        <v>285</v>
      </c>
      <c r="Y15" s="194" t="s">
        <v>302</v>
      </c>
      <c r="Z15" s="185" t="s">
        <v>286</v>
      </c>
      <c r="AA15" s="39" t="s">
        <v>236</v>
      </c>
      <c r="AB15" s="200" t="s">
        <v>71</v>
      </c>
      <c r="AC15" s="195" t="s">
        <v>303</v>
      </c>
      <c r="AD15" s="183" t="s">
        <v>287</v>
      </c>
      <c r="AE15" s="37" t="s">
        <v>72</v>
      </c>
      <c r="AF15" s="39" t="s">
        <v>73</v>
      </c>
      <c r="AG15" s="39" t="s">
        <v>74</v>
      </c>
      <c r="AH15" s="39" t="s">
        <v>75</v>
      </c>
      <c r="AI15" s="39" t="s">
        <v>76</v>
      </c>
      <c r="AJ15" s="40" t="s">
        <v>77</v>
      </c>
      <c r="AK15" s="39" t="s">
        <v>78</v>
      </c>
      <c r="AL15" s="38" t="s">
        <v>79</v>
      </c>
      <c r="AM15" s="39" t="s">
        <v>4</v>
      </c>
      <c r="AN15" s="200" t="s">
        <v>80</v>
      </c>
      <c r="AO15" s="200" t="s">
        <v>280</v>
      </c>
      <c r="AP15" s="200" t="s">
        <v>231</v>
      </c>
      <c r="AQ15" s="200" t="s">
        <v>326</v>
      </c>
      <c r="AR15" s="168" t="s">
        <v>81</v>
      </c>
      <c r="AS15" s="37" t="s">
        <v>82</v>
      </c>
      <c r="AT15" s="38" t="s">
        <v>83</v>
      </c>
      <c r="AU15" s="71" t="s">
        <v>215</v>
      </c>
      <c r="AV15" s="38" t="s">
        <v>84</v>
      </c>
      <c r="AW15" s="212" t="s">
        <v>313</v>
      </c>
      <c r="AX15" s="39" t="s">
        <v>85</v>
      </c>
      <c r="AY15" s="40" t="s">
        <v>5</v>
      </c>
      <c r="AZ15" s="40" t="s">
        <v>297</v>
      </c>
      <c r="BA15" s="39" t="s">
        <v>293</v>
      </c>
      <c r="BB15" s="39" t="s">
        <v>86</v>
      </c>
      <c r="BC15" s="38" t="s">
        <v>229</v>
      </c>
      <c r="BD15" s="41" t="s">
        <v>218</v>
      </c>
      <c r="BE15" s="39" t="s">
        <v>209</v>
      </c>
      <c r="BF15" s="41" t="s">
        <v>210</v>
      </c>
      <c r="BG15" s="38" t="s">
        <v>211</v>
      </c>
      <c r="BH15" s="192" t="s">
        <v>87</v>
      </c>
    </row>
    <row r="16" spans="1:60" s="36" customFormat="1" ht="15" customHeight="1" thickBot="1" x14ac:dyDescent="0.25">
      <c r="A16" s="32" t="s">
        <v>88</v>
      </c>
      <c r="B16" s="33" t="s">
        <v>89</v>
      </c>
      <c r="C16" s="278"/>
      <c r="D16" s="280"/>
      <c r="E16" s="282"/>
      <c r="F16" s="236">
        <v>110100</v>
      </c>
      <c r="G16" s="17">
        <v>110200</v>
      </c>
      <c r="H16" s="17">
        <v>110300</v>
      </c>
      <c r="I16" s="32">
        <v>110310</v>
      </c>
      <c r="J16" s="252">
        <v>110320</v>
      </c>
      <c r="K16" s="252">
        <v>110330</v>
      </c>
      <c r="L16" s="32">
        <v>110350</v>
      </c>
      <c r="M16" s="252">
        <v>110360</v>
      </c>
      <c r="N16" s="17">
        <v>110410</v>
      </c>
      <c r="O16" s="17">
        <v>110420</v>
      </c>
      <c r="P16" s="17">
        <v>110500</v>
      </c>
      <c r="Q16" s="35">
        <v>110600</v>
      </c>
      <c r="R16" s="267">
        <v>110700</v>
      </c>
      <c r="S16" s="268"/>
      <c r="T16" s="246">
        <v>110710</v>
      </c>
      <c r="U16" s="269">
        <v>110720</v>
      </c>
      <c r="V16" s="270"/>
      <c r="W16" s="269">
        <v>110730</v>
      </c>
      <c r="X16" s="270"/>
      <c r="Y16" s="269">
        <v>110740</v>
      </c>
      <c r="Z16" s="270"/>
      <c r="AA16" s="254">
        <v>110750</v>
      </c>
      <c r="AB16" s="243">
        <v>110770</v>
      </c>
      <c r="AC16" s="271">
        <v>110780</v>
      </c>
      <c r="AD16" s="272"/>
      <c r="AE16" s="17">
        <v>111000</v>
      </c>
      <c r="AF16" s="264">
        <v>111020</v>
      </c>
      <c r="AG16" s="252">
        <v>111030</v>
      </c>
      <c r="AH16" s="34">
        <v>111041</v>
      </c>
      <c r="AI16" s="252">
        <v>111042</v>
      </c>
      <c r="AJ16" s="42">
        <v>111043</v>
      </c>
      <c r="AK16" s="34">
        <v>111044</v>
      </c>
      <c r="AL16" s="32">
        <v>111045</v>
      </c>
      <c r="AM16" s="196">
        <v>111046</v>
      </c>
      <c r="AN16" s="197">
        <v>111047</v>
      </c>
      <c r="AO16" s="197">
        <v>111050</v>
      </c>
      <c r="AP16" s="197">
        <v>111057</v>
      </c>
      <c r="AQ16" s="197">
        <v>111058</v>
      </c>
      <c r="AR16" s="253">
        <v>111070</v>
      </c>
      <c r="AS16" s="17">
        <v>130000</v>
      </c>
      <c r="AT16" s="32">
        <v>130120</v>
      </c>
      <c r="AU16" s="249">
        <v>130130</v>
      </c>
      <c r="AV16" s="260">
        <v>130220</v>
      </c>
      <c r="AW16" s="32">
        <v>130260</v>
      </c>
      <c r="AX16" s="252">
        <v>130280</v>
      </c>
      <c r="AY16" s="42">
        <v>130650</v>
      </c>
      <c r="AZ16" s="42">
        <v>130660</v>
      </c>
      <c r="BA16" s="34">
        <v>240110</v>
      </c>
      <c r="BB16" s="252">
        <v>240120</v>
      </c>
      <c r="BC16" s="35">
        <v>240210</v>
      </c>
      <c r="BD16" s="17">
        <v>240230</v>
      </c>
      <c r="BE16" s="248">
        <v>240310</v>
      </c>
      <c r="BF16" s="232">
        <v>240330</v>
      </c>
      <c r="BG16" s="35">
        <v>240340</v>
      </c>
      <c r="BH16" s="255">
        <v>290000</v>
      </c>
    </row>
    <row r="17" spans="1:104" s="3" customFormat="1" ht="16.5" thickBot="1" x14ac:dyDescent="0.25">
      <c r="A17" s="28" t="s">
        <v>6</v>
      </c>
      <c r="B17" s="26" t="s">
        <v>90</v>
      </c>
      <c r="C17" s="114" t="s">
        <v>7</v>
      </c>
      <c r="D17" s="115">
        <f>D18+D20</f>
        <v>10714314</v>
      </c>
      <c r="E17" s="115">
        <f>E18+E20</f>
        <v>10491280</v>
      </c>
      <c r="F17" s="116">
        <f>F18+F20</f>
        <v>7803364</v>
      </c>
      <c r="G17" s="116">
        <f>G18+G20</f>
        <v>1831509</v>
      </c>
      <c r="H17" s="116">
        <f t="shared" ref="H17:BH17" si="0">H18+H20</f>
        <v>477894</v>
      </c>
      <c r="I17" s="116">
        <f t="shared" si="0"/>
        <v>0</v>
      </c>
      <c r="J17" s="116">
        <f t="shared" si="0"/>
        <v>0</v>
      </c>
      <c r="K17" s="116">
        <f t="shared" si="0"/>
        <v>0</v>
      </c>
      <c r="L17" s="116">
        <f t="shared" si="0"/>
        <v>382669</v>
      </c>
      <c r="M17" s="116">
        <f>M18+M20</f>
        <v>95225</v>
      </c>
      <c r="N17" s="116">
        <f t="shared" si="0"/>
        <v>0</v>
      </c>
      <c r="O17" s="116">
        <f t="shared" si="0"/>
        <v>0</v>
      </c>
      <c r="P17" s="116">
        <f t="shared" si="0"/>
        <v>0</v>
      </c>
      <c r="Q17" s="116">
        <f t="shared" si="0"/>
        <v>107895</v>
      </c>
      <c r="R17" s="116">
        <f>R18+R20</f>
        <v>284464</v>
      </c>
      <c r="S17" s="117">
        <f>S18+S20</f>
        <v>61430</v>
      </c>
      <c r="T17" s="116">
        <f t="shared" si="0"/>
        <v>61430</v>
      </c>
      <c r="U17" s="116">
        <f>U18+U20</f>
        <v>150411</v>
      </c>
      <c r="V17" s="116">
        <f>V18+V20</f>
        <v>0</v>
      </c>
      <c r="W17" s="116">
        <f t="shared" si="0"/>
        <v>45853</v>
      </c>
      <c r="X17" s="116">
        <f t="shared" si="0"/>
        <v>0</v>
      </c>
      <c r="Y17" s="116">
        <f t="shared" si="0"/>
        <v>14952</v>
      </c>
      <c r="Z17" s="116">
        <f t="shared" si="0"/>
        <v>0</v>
      </c>
      <c r="AA17" s="116">
        <f t="shared" si="0"/>
        <v>0</v>
      </c>
      <c r="AB17" s="116">
        <f t="shared" si="0"/>
        <v>0</v>
      </c>
      <c r="AC17" s="116">
        <f t="shared" si="0"/>
        <v>11818</v>
      </c>
      <c r="AD17" s="116">
        <f t="shared" si="0"/>
        <v>0</v>
      </c>
      <c r="AE17" s="116">
        <f t="shared" si="0"/>
        <v>112147</v>
      </c>
      <c r="AF17" s="116">
        <f t="shared" si="0"/>
        <v>5178</v>
      </c>
      <c r="AG17" s="116">
        <f t="shared" si="0"/>
        <v>557</v>
      </c>
      <c r="AH17" s="116">
        <f t="shared" si="0"/>
        <v>0</v>
      </c>
      <c r="AI17" s="116">
        <f t="shared" si="0"/>
        <v>1046</v>
      </c>
      <c r="AJ17" s="116">
        <f t="shared" si="0"/>
        <v>0</v>
      </c>
      <c r="AK17" s="116">
        <f t="shared" si="0"/>
        <v>0</v>
      </c>
      <c r="AL17" s="116">
        <f t="shared" si="0"/>
        <v>4800</v>
      </c>
      <c r="AM17" s="116">
        <f t="shared" si="0"/>
        <v>38922</v>
      </c>
      <c r="AN17" s="116">
        <f t="shared" si="0"/>
        <v>0</v>
      </c>
      <c r="AO17" s="116">
        <f t="shared" si="0"/>
        <v>55310</v>
      </c>
      <c r="AP17" s="116">
        <f t="shared" si="0"/>
        <v>0</v>
      </c>
      <c r="AQ17" s="116">
        <f t="shared" ref="AQ17" si="1">AQ18+AQ20</f>
        <v>0</v>
      </c>
      <c r="AR17" s="116">
        <f t="shared" si="0"/>
        <v>6334</v>
      </c>
      <c r="AS17" s="116">
        <f t="shared" si="0"/>
        <v>0</v>
      </c>
      <c r="AT17" s="116">
        <f t="shared" si="0"/>
        <v>0</v>
      </c>
      <c r="AU17" s="116">
        <f t="shared" si="0"/>
        <v>0</v>
      </c>
      <c r="AV17" s="116">
        <f t="shared" si="0"/>
        <v>0</v>
      </c>
      <c r="AW17" s="116">
        <f>AW18+AW20</f>
        <v>0</v>
      </c>
      <c r="AX17" s="116">
        <f t="shared" si="0"/>
        <v>0</v>
      </c>
      <c r="AY17" s="116">
        <f t="shared" ref="AY17" si="2">AY18+AY20</f>
        <v>0</v>
      </c>
      <c r="AZ17" s="116">
        <f t="shared" si="0"/>
        <v>0</v>
      </c>
      <c r="BA17" s="116">
        <f t="shared" si="0"/>
        <v>0</v>
      </c>
      <c r="BB17" s="116">
        <f t="shared" si="0"/>
        <v>97041</v>
      </c>
      <c r="BC17" s="116">
        <f t="shared" si="0"/>
        <v>0</v>
      </c>
      <c r="BD17" s="116">
        <f t="shared" si="0"/>
        <v>0</v>
      </c>
      <c r="BE17" s="116">
        <f t="shared" si="0"/>
        <v>0</v>
      </c>
      <c r="BF17" s="116">
        <f t="shared" si="0"/>
        <v>0</v>
      </c>
      <c r="BG17" s="116">
        <f t="shared" si="0"/>
        <v>0</v>
      </c>
      <c r="BH17" s="201">
        <f t="shared" si="0"/>
        <v>0</v>
      </c>
    </row>
    <row r="18" spans="1:104" s="170" customFormat="1" ht="15.75" x14ac:dyDescent="0.2">
      <c r="A18" s="18" t="s">
        <v>91</v>
      </c>
      <c r="B18" s="19" t="s">
        <v>90</v>
      </c>
      <c r="C18" s="93" t="s">
        <v>92</v>
      </c>
      <c r="D18" s="169">
        <f>SUM(D19:D19)</f>
        <v>5347090</v>
      </c>
      <c r="E18" s="169">
        <f>SUM(E19:E19)</f>
        <v>5194734</v>
      </c>
      <c r="F18" s="219">
        <f t="shared" ref="F18:G18" si="3">SUM(F19:F19)</f>
        <v>3817944</v>
      </c>
      <c r="G18" s="95">
        <f t="shared" si="3"/>
        <v>920159</v>
      </c>
      <c r="H18" s="95">
        <f t="shared" ref="H18:AD18" si="4">SUM(H19:H19)</f>
        <v>254299</v>
      </c>
      <c r="I18" s="95">
        <f t="shared" si="4"/>
        <v>0</v>
      </c>
      <c r="J18" s="95">
        <f t="shared" si="4"/>
        <v>0</v>
      </c>
      <c r="K18" s="95">
        <f t="shared" si="4"/>
        <v>0</v>
      </c>
      <c r="L18" s="95">
        <f t="shared" si="4"/>
        <v>176934</v>
      </c>
      <c r="M18" s="95">
        <f t="shared" si="4"/>
        <v>77365</v>
      </c>
      <c r="N18" s="95">
        <f t="shared" si="4"/>
        <v>0</v>
      </c>
      <c r="O18" s="95">
        <f t="shared" si="4"/>
        <v>0</v>
      </c>
      <c r="P18" s="95">
        <f t="shared" si="4"/>
        <v>0</v>
      </c>
      <c r="Q18" s="95">
        <f t="shared" si="4"/>
        <v>52475</v>
      </c>
      <c r="R18" s="95">
        <f>SUM(R19:R19)</f>
        <v>202356</v>
      </c>
      <c r="S18" s="95">
        <f>SUM(S19:S19)</f>
        <v>50000</v>
      </c>
      <c r="T18" s="95">
        <f t="shared" si="4"/>
        <v>50000</v>
      </c>
      <c r="U18" s="95">
        <f t="shared" si="4"/>
        <v>108566</v>
      </c>
      <c r="V18" s="95">
        <f t="shared" si="4"/>
        <v>0</v>
      </c>
      <c r="W18" s="95">
        <f t="shared" si="4"/>
        <v>30416</v>
      </c>
      <c r="X18" s="95">
        <f t="shared" si="4"/>
        <v>0</v>
      </c>
      <c r="Y18" s="95">
        <f t="shared" si="4"/>
        <v>13374</v>
      </c>
      <c r="Z18" s="95">
        <f t="shared" si="4"/>
        <v>0</v>
      </c>
      <c r="AA18" s="95">
        <f t="shared" si="4"/>
        <v>0</v>
      </c>
      <c r="AB18" s="95">
        <f t="shared" si="4"/>
        <v>0</v>
      </c>
      <c r="AC18" s="95">
        <f t="shared" si="4"/>
        <v>0</v>
      </c>
      <c r="AD18" s="95">
        <f t="shared" si="4"/>
        <v>0</v>
      </c>
      <c r="AE18" s="95">
        <f>AF18+AG18+AI18+AJ18+AK18+AL18+AM18+AN18+AP18+AR18+AO18</f>
        <v>73126</v>
      </c>
      <c r="AF18" s="95">
        <f>SUM(AF19:AF19)</f>
        <v>2478</v>
      </c>
      <c r="AG18" s="95">
        <f t="shared" ref="AG18:AU18" si="5">SUM(AG19:AG19)</f>
        <v>557</v>
      </c>
      <c r="AH18" s="95">
        <f t="shared" si="5"/>
        <v>0</v>
      </c>
      <c r="AI18" s="95">
        <f t="shared" si="5"/>
        <v>326</v>
      </c>
      <c r="AJ18" s="95">
        <f t="shared" si="5"/>
        <v>0</v>
      </c>
      <c r="AK18" s="95">
        <f t="shared" si="5"/>
        <v>0</v>
      </c>
      <c r="AL18" s="95">
        <f t="shared" si="5"/>
        <v>2500</v>
      </c>
      <c r="AM18" s="95">
        <f t="shared" si="5"/>
        <v>18042</v>
      </c>
      <c r="AN18" s="95">
        <f t="shared" si="5"/>
        <v>0</v>
      </c>
      <c r="AO18" s="95">
        <f t="shared" si="5"/>
        <v>45939</v>
      </c>
      <c r="AP18" s="95">
        <f t="shared" si="5"/>
        <v>0</v>
      </c>
      <c r="AQ18" s="95">
        <f t="shared" si="5"/>
        <v>0</v>
      </c>
      <c r="AR18" s="95">
        <f t="shared" si="5"/>
        <v>3284</v>
      </c>
      <c r="AS18" s="95">
        <f t="shared" si="5"/>
        <v>0</v>
      </c>
      <c r="AT18" s="95">
        <f t="shared" si="5"/>
        <v>0</v>
      </c>
      <c r="AU18" s="95">
        <f t="shared" si="5"/>
        <v>0</v>
      </c>
      <c r="AV18" s="95"/>
      <c r="AW18" s="95"/>
      <c r="AX18" s="95"/>
      <c r="AY18" s="95">
        <f t="shared" ref="AY18:BG18" si="6">SUM(AY19:AY19)</f>
        <v>0</v>
      </c>
      <c r="AZ18" s="95">
        <f t="shared" si="6"/>
        <v>0</v>
      </c>
      <c r="BA18" s="95"/>
      <c r="BB18" s="95">
        <f t="shared" si="6"/>
        <v>26731</v>
      </c>
      <c r="BC18" s="97"/>
      <c r="BD18" s="97"/>
      <c r="BE18" s="95">
        <f t="shared" si="6"/>
        <v>0</v>
      </c>
      <c r="BF18" s="95">
        <f t="shared" si="6"/>
        <v>0</v>
      </c>
      <c r="BG18" s="95">
        <f t="shared" si="6"/>
        <v>0</v>
      </c>
      <c r="BH18" s="98">
        <f>SUM(BH19:BH19)</f>
        <v>0</v>
      </c>
    </row>
    <row r="19" spans="1:104" s="170" customFormat="1" ht="20.25" customHeight="1" x14ac:dyDescent="0.2">
      <c r="A19" s="23"/>
      <c r="B19" s="19" t="s">
        <v>93</v>
      </c>
      <c r="C19" s="245" t="s">
        <v>94</v>
      </c>
      <c r="D19" s="99">
        <f>F19+G19+H19+N19+O19+P19+Q19+R19+AE19+AS19+BB19+BF19+BG19</f>
        <v>5347090</v>
      </c>
      <c r="E19" s="99">
        <f>F19+G19+H19+O19+N19+P19+Q19+S19+AE19+AS19+BB19+BE19+BG19+BH19</f>
        <v>5194734</v>
      </c>
      <c r="F19" s="234">
        <v>3817944</v>
      </c>
      <c r="G19" s="235">
        <v>920159</v>
      </c>
      <c r="H19" s="101">
        <f>SUM(I19:M19)</f>
        <v>254299</v>
      </c>
      <c r="I19" s="100"/>
      <c r="J19" s="100"/>
      <c r="K19" s="100"/>
      <c r="L19" s="100">
        <v>176934</v>
      </c>
      <c r="M19" s="100">
        <v>77365</v>
      </c>
      <c r="N19" s="101"/>
      <c r="O19" s="101"/>
      <c r="P19" s="101"/>
      <c r="Q19" s="100">
        <v>52475</v>
      </c>
      <c r="R19" s="101">
        <f>T19+U19+W19+Y19+AA19+AB19+AC19</f>
        <v>202356</v>
      </c>
      <c r="S19" s="101">
        <f>T19+V19+X19+Z19+AA19+AB19+AD19</f>
        <v>50000</v>
      </c>
      <c r="T19" s="100">
        <v>50000</v>
      </c>
      <c r="U19" s="100">
        <v>108566</v>
      </c>
      <c r="V19" s="100"/>
      <c r="W19" s="100">
        <v>30416</v>
      </c>
      <c r="X19" s="100"/>
      <c r="Y19" s="100">
        <v>13374</v>
      </c>
      <c r="Z19" s="100"/>
      <c r="AA19" s="100"/>
      <c r="AB19" s="100"/>
      <c r="AC19" s="100"/>
      <c r="AD19" s="102"/>
      <c r="AE19" s="101">
        <f>SUM(AF19:AR19)</f>
        <v>73126</v>
      </c>
      <c r="AF19" s="100">
        <v>2478</v>
      </c>
      <c r="AG19" s="100">
        <v>557</v>
      </c>
      <c r="AH19" s="100"/>
      <c r="AI19" s="100">
        <v>326</v>
      </c>
      <c r="AJ19" s="100"/>
      <c r="AK19" s="100"/>
      <c r="AL19" s="100">
        <v>2500</v>
      </c>
      <c r="AM19" s="100">
        <v>18042</v>
      </c>
      <c r="AN19" s="100"/>
      <c r="AO19" s="100">
        <v>45939</v>
      </c>
      <c r="AP19" s="100"/>
      <c r="AQ19" s="100"/>
      <c r="AR19" s="100">
        <v>3284</v>
      </c>
      <c r="AS19" s="101">
        <f>SUM(AT19:AZ19)</f>
        <v>0</v>
      </c>
      <c r="AT19" s="100"/>
      <c r="AU19" s="100"/>
      <c r="AV19" s="100"/>
      <c r="AW19" s="100"/>
      <c r="AX19" s="100"/>
      <c r="AY19" s="100"/>
      <c r="AZ19" s="100"/>
      <c r="BA19" s="100"/>
      <c r="BB19" s="100">
        <v>26731</v>
      </c>
      <c r="BC19" s="100"/>
      <c r="BD19" s="100"/>
      <c r="BE19" s="100"/>
      <c r="BF19" s="100"/>
      <c r="BG19" s="100">
        <f>118236-118236</f>
        <v>0</v>
      </c>
      <c r="BH19" s="103"/>
    </row>
    <row r="20" spans="1:104" s="170" customFormat="1" ht="18" customHeight="1" x14ac:dyDescent="0.2">
      <c r="A20" s="18" t="s">
        <v>98</v>
      </c>
      <c r="B20" s="19" t="s">
        <v>90</v>
      </c>
      <c r="C20" s="93" t="s">
        <v>9</v>
      </c>
      <c r="D20" s="128">
        <f>SUM(D21:D30)+D33</f>
        <v>5367224</v>
      </c>
      <c r="E20" s="128">
        <f>SUM(E21:E30)+E33</f>
        <v>5296546</v>
      </c>
      <c r="F20" s="221">
        <f t="shared" ref="F20:G20" si="7">SUM(F21:F30)+F33</f>
        <v>3985420</v>
      </c>
      <c r="G20" s="141">
        <f t="shared" si="7"/>
        <v>911350</v>
      </c>
      <c r="H20" s="141">
        <f t="shared" ref="H20:BH20" si="8">SUM(H21:H30)+H33</f>
        <v>223595</v>
      </c>
      <c r="I20" s="141">
        <f t="shared" si="8"/>
        <v>0</v>
      </c>
      <c r="J20" s="141">
        <f t="shared" si="8"/>
        <v>0</v>
      </c>
      <c r="K20" s="141">
        <f t="shared" si="8"/>
        <v>0</v>
      </c>
      <c r="L20" s="141">
        <f t="shared" si="8"/>
        <v>205735</v>
      </c>
      <c r="M20" s="141">
        <f t="shared" ref="M20" si="9">SUM(M21:M30)+M33</f>
        <v>17860</v>
      </c>
      <c r="N20" s="141">
        <f t="shared" si="8"/>
        <v>0</v>
      </c>
      <c r="O20" s="141">
        <f t="shared" si="8"/>
        <v>0</v>
      </c>
      <c r="P20" s="141">
        <f t="shared" si="8"/>
        <v>0</v>
      </c>
      <c r="Q20" s="141">
        <f t="shared" si="8"/>
        <v>55420</v>
      </c>
      <c r="R20" s="141">
        <f t="shared" si="8"/>
        <v>82108</v>
      </c>
      <c r="S20" s="141">
        <f t="shared" ref="S20" si="10">SUM(S21:S30)+S33</f>
        <v>11430</v>
      </c>
      <c r="T20" s="141">
        <f t="shared" si="8"/>
        <v>11430</v>
      </c>
      <c r="U20" s="141">
        <f t="shared" si="8"/>
        <v>41845</v>
      </c>
      <c r="V20" s="141">
        <f t="shared" si="8"/>
        <v>0</v>
      </c>
      <c r="W20" s="141">
        <f t="shared" si="8"/>
        <v>15437</v>
      </c>
      <c r="X20" s="141">
        <f t="shared" si="8"/>
        <v>0</v>
      </c>
      <c r="Y20" s="141">
        <f t="shared" si="8"/>
        <v>1578</v>
      </c>
      <c r="Z20" s="141">
        <f t="shared" si="8"/>
        <v>0</v>
      </c>
      <c r="AA20" s="141">
        <f t="shared" si="8"/>
        <v>0</v>
      </c>
      <c r="AB20" s="141">
        <f t="shared" si="8"/>
        <v>0</v>
      </c>
      <c r="AC20" s="141">
        <f t="shared" si="8"/>
        <v>11818</v>
      </c>
      <c r="AD20" s="141">
        <f t="shared" si="8"/>
        <v>0</v>
      </c>
      <c r="AE20" s="141">
        <f t="shared" si="8"/>
        <v>39021</v>
      </c>
      <c r="AF20" s="141">
        <f t="shared" si="8"/>
        <v>2700</v>
      </c>
      <c r="AG20" s="141">
        <f t="shared" si="8"/>
        <v>0</v>
      </c>
      <c r="AH20" s="141">
        <f t="shared" si="8"/>
        <v>0</v>
      </c>
      <c r="AI20" s="141">
        <f t="shared" si="8"/>
        <v>720</v>
      </c>
      <c r="AJ20" s="141">
        <f t="shared" si="8"/>
        <v>0</v>
      </c>
      <c r="AK20" s="141">
        <f t="shared" si="8"/>
        <v>0</v>
      </c>
      <c r="AL20" s="141">
        <f t="shared" si="8"/>
        <v>2300</v>
      </c>
      <c r="AM20" s="141">
        <f t="shared" si="8"/>
        <v>20880</v>
      </c>
      <c r="AN20" s="141">
        <f t="shared" si="8"/>
        <v>0</v>
      </c>
      <c r="AO20" s="141">
        <f t="shared" si="8"/>
        <v>9371</v>
      </c>
      <c r="AP20" s="141">
        <f t="shared" si="8"/>
        <v>0</v>
      </c>
      <c r="AQ20" s="141">
        <f t="shared" ref="AQ20" si="11">SUM(AQ21:AQ30)+AQ33</f>
        <v>0</v>
      </c>
      <c r="AR20" s="141">
        <f t="shared" si="8"/>
        <v>3050</v>
      </c>
      <c r="AS20" s="141">
        <f t="shared" si="8"/>
        <v>0</v>
      </c>
      <c r="AT20" s="141">
        <f t="shared" si="8"/>
        <v>0</v>
      </c>
      <c r="AU20" s="141">
        <f t="shared" si="8"/>
        <v>0</v>
      </c>
      <c r="AV20" s="141">
        <f t="shared" si="8"/>
        <v>0</v>
      </c>
      <c r="AW20" s="141">
        <f>SUM(AW21:AW30)+AW33</f>
        <v>0</v>
      </c>
      <c r="AX20" s="141">
        <f t="shared" si="8"/>
        <v>0</v>
      </c>
      <c r="AY20" s="141">
        <f t="shared" ref="AY20" si="12">SUM(AY21:AY30)+AY33</f>
        <v>0</v>
      </c>
      <c r="AZ20" s="141">
        <f t="shared" si="8"/>
        <v>0</v>
      </c>
      <c r="BA20" s="141">
        <f t="shared" si="8"/>
        <v>0</v>
      </c>
      <c r="BB20" s="141">
        <f t="shared" si="8"/>
        <v>70310</v>
      </c>
      <c r="BC20" s="141">
        <f t="shared" si="8"/>
        <v>0</v>
      </c>
      <c r="BD20" s="141">
        <f t="shared" si="8"/>
        <v>0</v>
      </c>
      <c r="BE20" s="141">
        <f t="shared" si="8"/>
        <v>0</v>
      </c>
      <c r="BF20" s="141">
        <f t="shared" si="8"/>
        <v>0</v>
      </c>
      <c r="BG20" s="141">
        <f t="shared" si="8"/>
        <v>0</v>
      </c>
      <c r="BH20" s="202">
        <f t="shared" si="8"/>
        <v>0</v>
      </c>
      <c r="BJ20" s="173"/>
    </row>
    <row r="21" spans="1:104" s="170" customFormat="1" ht="10.5" hidden="1" customHeight="1" x14ac:dyDescent="0.2">
      <c r="A21" s="23"/>
      <c r="B21" s="19"/>
      <c r="C21" s="93"/>
      <c r="D21" s="99"/>
      <c r="E21" s="99"/>
      <c r="F21" s="220"/>
      <c r="G21" s="100"/>
      <c r="H21" s="101"/>
      <c r="I21" s="100"/>
      <c r="J21" s="100"/>
      <c r="K21" s="100"/>
      <c r="L21" s="100"/>
      <c r="M21" s="100"/>
      <c r="N21" s="101"/>
      <c r="O21" s="101"/>
      <c r="P21" s="101"/>
      <c r="Q21" s="101"/>
      <c r="R21" s="101"/>
      <c r="S21" s="101"/>
      <c r="T21" s="100"/>
      <c r="U21" s="102"/>
      <c r="V21" s="102"/>
      <c r="W21" s="102"/>
      <c r="X21" s="102"/>
      <c r="Y21" s="100"/>
      <c r="Z21" s="100"/>
      <c r="AA21" s="100"/>
      <c r="AB21" s="100"/>
      <c r="AC21" s="100"/>
      <c r="AD21" s="100"/>
      <c r="AE21" s="101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1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3"/>
      <c r="BJ21" s="173">
        <f>BB23+AR23+AL23+AI23+AG23+AF23+T23+M23</f>
        <v>9465</v>
      </c>
    </row>
    <row r="22" spans="1:104" s="170" customFormat="1" ht="15.75" customHeight="1" x14ac:dyDescent="0.2">
      <c r="A22" s="23"/>
      <c r="B22" s="19" t="s">
        <v>99</v>
      </c>
      <c r="C22" s="107" t="s">
        <v>101</v>
      </c>
      <c r="D22" s="99">
        <f t="shared" ref="D22:D30" si="13">F22+G22+H22+N22+P22+Q22+R22+AE22+AS22+BB22+BF22+BE22+BG22+BH22</f>
        <v>448571</v>
      </c>
      <c r="E22" s="99">
        <f t="shared" ref="E22:E30" si="14">F22+G22+H22+O22+N22+P22+Q22+S22+AE22+AS22+BB22+BE22+BG22+BH22</f>
        <v>445723</v>
      </c>
      <c r="F22" s="220">
        <v>335670</v>
      </c>
      <c r="G22" s="220">
        <v>78800</v>
      </c>
      <c r="H22" s="101">
        <f t="shared" ref="H22:H30" si="15">SUM(I22:M22)</f>
        <v>16773</v>
      </c>
      <c r="I22" s="100"/>
      <c r="J22" s="100"/>
      <c r="K22" s="100"/>
      <c r="L22" s="100">
        <v>15733</v>
      </c>
      <c r="M22" s="100">
        <v>1040</v>
      </c>
      <c r="N22" s="101"/>
      <c r="O22" s="101"/>
      <c r="P22" s="101"/>
      <c r="Q22" s="100">
        <v>6500</v>
      </c>
      <c r="R22" s="101">
        <f t="shared" ref="R22:R30" si="16">T22+U22+W22+Y22+AA22+AB22+AC22</f>
        <v>4128</v>
      </c>
      <c r="S22" s="101">
        <f t="shared" ref="S22:S30" si="17">T22+V22+X22+Z22+AA22+AB22+AD22</f>
        <v>1280</v>
      </c>
      <c r="T22" s="100">
        <v>1280</v>
      </c>
      <c r="U22" s="100"/>
      <c r="V22" s="100"/>
      <c r="W22" s="100">
        <v>1204</v>
      </c>
      <c r="X22" s="100"/>
      <c r="Y22" s="100">
        <v>101</v>
      </c>
      <c r="Z22" s="100"/>
      <c r="AA22" s="100"/>
      <c r="AB22" s="100"/>
      <c r="AC22" s="100">
        <v>1543</v>
      </c>
      <c r="AD22" s="100"/>
      <c r="AE22" s="101">
        <f t="shared" ref="AE22:AE30" si="18">SUM(AF22:AR22)</f>
        <v>1800</v>
      </c>
      <c r="AF22" s="100"/>
      <c r="AG22" s="100"/>
      <c r="AH22" s="100"/>
      <c r="AI22" s="100"/>
      <c r="AJ22" s="100"/>
      <c r="AK22" s="100"/>
      <c r="AL22" s="100"/>
      <c r="AM22" s="100">
        <v>1800</v>
      </c>
      <c r="AN22" s="100"/>
      <c r="AO22" s="100"/>
      <c r="AP22" s="100"/>
      <c r="AQ22" s="100"/>
      <c r="AR22" s="100"/>
      <c r="AS22" s="101">
        <f t="shared" ref="AS22:AS30" si="19">SUM(AT22:AZ22)</f>
        <v>0</v>
      </c>
      <c r="AT22" s="100"/>
      <c r="AU22" s="100"/>
      <c r="AV22" s="100"/>
      <c r="AW22" s="100"/>
      <c r="AX22" s="100"/>
      <c r="AY22" s="100"/>
      <c r="AZ22" s="100"/>
      <c r="BA22" s="100"/>
      <c r="BB22" s="100">
        <f>2040+2860</f>
        <v>4900</v>
      </c>
      <c r="BC22" s="100"/>
      <c r="BD22" s="100"/>
      <c r="BE22" s="100"/>
      <c r="BF22" s="100"/>
      <c r="BG22" s="100"/>
      <c r="BH22" s="103"/>
      <c r="BJ22" s="173">
        <f t="shared" ref="BJ22:BJ30" si="20">BB22+AR22+AL22+AI22+AG22+AF22+T22+M22</f>
        <v>7220</v>
      </c>
    </row>
    <row r="23" spans="1:104" s="170" customFormat="1" ht="15.75" customHeight="1" x14ac:dyDescent="0.2">
      <c r="A23" s="23"/>
      <c r="B23" s="19" t="s">
        <v>99</v>
      </c>
      <c r="C23" s="107" t="s">
        <v>271</v>
      </c>
      <c r="D23" s="99">
        <f t="shared" si="13"/>
        <v>393929</v>
      </c>
      <c r="E23" s="99">
        <f t="shared" si="14"/>
        <v>391210</v>
      </c>
      <c r="F23" s="233">
        <v>290100</v>
      </c>
      <c r="G23" s="233">
        <v>68000</v>
      </c>
      <c r="H23" s="101">
        <f t="shared" si="15"/>
        <v>18885</v>
      </c>
      <c r="I23" s="100"/>
      <c r="J23" s="100"/>
      <c r="K23" s="100"/>
      <c r="L23" s="100">
        <v>17845</v>
      </c>
      <c r="M23" s="100">
        <v>1040</v>
      </c>
      <c r="N23" s="101"/>
      <c r="O23" s="101"/>
      <c r="P23" s="101"/>
      <c r="Q23" s="100">
        <v>5800</v>
      </c>
      <c r="R23" s="101">
        <f t="shared" si="16"/>
        <v>3919</v>
      </c>
      <c r="S23" s="101">
        <f t="shared" si="17"/>
        <v>1200</v>
      </c>
      <c r="T23" s="100">
        <v>1200</v>
      </c>
      <c r="U23" s="100"/>
      <c r="V23" s="100"/>
      <c r="W23" s="100">
        <v>814</v>
      </c>
      <c r="X23" s="100"/>
      <c r="Y23" s="100">
        <v>62</v>
      </c>
      <c r="Z23" s="100"/>
      <c r="AA23" s="100"/>
      <c r="AB23" s="100"/>
      <c r="AC23" s="100">
        <v>1843</v>
      </c>
      <c r="AD23" s="100"/>
      <c r="AE23" s="101">
        <f t="shared" si="18"/>
        <v>270</v>
      </c>
      <c r="AF23" s="100"/>
      <c r="AG23" s="100"/>
      <c r="AH23" s="100"/>
      <c r="AI23" s="100">
        <v>270</v>
      </c>
      <c r="AJ23" s="100"/>
      <c r="AK23" s="100"/>
      <c r="AL23" s="100"/>
      <c r="AM23" s="100"/>
      <c r="AN23" s="100"/>
      <c r="AO23" s="100"/>
      <c r="AP23" s="100"/>
      <c r="AQ23" s="100"/>
      <c r="AR23" s="100"/>
      <c r="AS23" s="101">
        <f t="shared" si="19"/>
        <v>0</v>
      </c>
      <c r="AT23" s="100"/>
      <c r="AU23" s="100"/>
      <c r="AV23" s="100"/>
      <c r="AW23" s="100"/>
      <c r="AX23" s="100"/>
      <c r="AY23" s="100"/>
      <c r="AZ23" s="100"/>
      <c r="BA23" s="100"/>
      <c r="BB23" s="100">
        <f>4095+2860</f>
        <v>6955</v>
      </c>
      <c r="BC23" s="100"/>
      <c r="BD23" s="100"/>
      <c r="BE23" s="100"/>
      <c r="BF23" s="100"/>
      <c r="BG23" s="100"/>
      <c r="BH23" s="103"/>
      <c r="BJ23" s="173">
        <f t="shared" si="20"/>
        <v>9465</v>
      </c>
    </row>
    <row r="24" spans="1:104" s="170" customFormat="1" ht="15.75" customHeight="1" x14ac:dyDescent="0.2">
      <c r="A24" s="23"/>
      <c r="B24" s="19" t="s">
        <v>99</v>
      </c>
      <c r="C24" s="107" t="s">
        <v>102</v>
      </c>
      <c r="D24" s="99">
        <f t="shared" si="13"/>
        <v>494958</v>
      </c>
      <c r="E24" s="99">
        <f t="shared" si="14"/>
        <v>487003</v>
      </c>
      <c r="F24" s="222">
        <v>369300</v>
      </c>
      <c r="G24" s="222">
        <v>86700</v>
      </c>
      <c r="H24" s="101">
        <f t="shared" si="15"/>
        <v>15863</v>
      </c>
      <c r="I24" s="100"/>
      <c r="J24" s="100"/>
      <c r="K24" s="100"/>
      <c r="L24" s="100">
        <v>14240</v>
      </c>
      <c r="M24" s="100">
        <v>1623</v>
      </c>
      <c r="N24" s="101"/>
      <c r="O24" s="101"/>
      <c r="P24" s="101"/>
      <c r="Q24" s="100">
        <v>4500</v>
      </c>
      <c r="R24" s="101">
        <f t="shared" si="16"/>
        <v>7955</v>
      </c>
      <c r="S24" s="101">
        <f t="shared" si="17"/>
        <v>0</v>
      </c>
      <c r="T24" s="100"/>
      <c r="U24" s="100">
        <v>5177</v>
      </c>
      <c r="V24" s="100"/>
      <c r="W24" s="100">
        <v>2274</v>
      </c>
      <c r="X24" s="100"/>
      <c r="Y24" s="100">
        <v>504</v>
      </c>
      <c r="Z24" s="100"/>
      <c r="AA24" s="100"/>
      <c r="AB24" s="100"/>
      <c r="AC24" s="100"/>
      <c r="AD24" s="100"/>
      <c r="AE24" s="101">
        <f t="shared" si="18"/>
        <v>3120</v>
      </c>
      <c r="AF24" s="100">
        <v>400</v>
      </c>
      <c r="AG24" s="100"/>
      <c r="AH24" s="100"/>
      <c r="AI24" s="100"/>
      <c r="AJ24" s="100"/>
      <c r="AK24" s="100"/>
      <c r="AL24" s="100">
        <v>2000</v>
      </c>
      <c r="AM24" s="100">
        <v>720</v>
      </c>
      <c r="AN24" s="100"/>
      <c r="AO24" s="100"/>
      <c r="AP24" s="100"/>
      <c r="AQ24" s="100"/>
      <c r="AR24" s="100"/>
      <c r="AS24" s="101">
        <f t="shared" si="19"/>
        <v>0</v>
      </c>
      <c r="AT24" s="100"/>
      <c r="AU24" s="100"/>
      <c r="AV24" s="100"/>
      <c r="AW24" s="100"/>
      <c r="AX24" s="100"/>
      <c r="AY24" s="100"/>
      <c r="AZ24" s="100"/>
      <c r="BA24" s="100"/>
      <c r="BB24" s="100">
        <f>4660+2860</f>
        <v>7520</v>
      </c>
      <c r="BC24" s="100"/>
      <c r="BD24" s="100"/>
      <c r="BE24" s="100"/>
      <c r="BF24" s="100"/>
      <c r="BG24" s="100"/>
      <c r="BH24" s="103"/>
      <c r="BJ24" s="173">
        <f t="shared" si="20"/>
        <v>11543</v>
      </c>
    </row>
    <row r="25" spans="1:104" s="170" customFormat="1" ht="15.75" customHeight="1" x14ac:dyDescent="0.2">
      <c r="A25" s="23"/>
      <c r="B25" s="19" t="s">
        <v>99</v>
      </c>
      <c r="C25" s="107" t="s">
        <v>103</v>
      </c>
      <c r="D25" s="99">
        <f t="shared" si="13"/>
        <v>496932</v>
      </c>
      <c r="E25" s="99">
        <f t="shared" si="14"/>
        <v>494093</v>
      </c>
      <c r="F25" s="222">
        <v>372900</v>
      </c>
      <c r="G25" s="222">
        <v>86750</v>
      </c>
      <c r="H25" s="101">
        <f t="shared" si="15"/>
        <v>18978</v>
      </c>
      <c r="I25" s="100"/>
      <c r="J25" s="100"/>
      <c r="K25" s="100"/>
      <c r="L25" s="100">
        <v>17938</v>
      </c>
      <c r="M25" s="100">
        <v>1040</v>
      </c>
      <c r="N25" s="101"/>
      <c r="O25" s="101"/>
      <c r="P25" s="101"/>
      <c r="Q25" s="100">
        <v>5200</v>
      </c>
      <c r="R25" s="101">
        <f t="shared" si="16"/>
        <v>4539</v>
      </c>
      <c r="S25" s="101">
        <f t="shared" si="17"/>
        <v>1700</v>
      </c>
      <c r="T25" s="100">
        <v>1700</v>
      </c>
      <c r="U25" s="100"/>
      <c r="V25" s="100"/>
      <c r="W25" s="100">
        <v>1059</v>
      </c>
      <c r="X25" s="100"/>
      <c r="Y25" s="100">
        <v>93</v>
      </c>
      <c r="Z25" s="100"/>
      <c r="AA25" s="100"/>
      <c r="AB25" s="100"/>
      <c r="AC25" s="100">
        <v>1687</v>
      </c>
      <c r="AD25" s="100"/>
      <c r="AE25" s="101">
        <f t="shared" si="18"/>
        <v>150</v>
      </c>
      <c r="AF25" s="100"/>
      <c r="AG25" s="100"/>
      <c r="AH25" s="100"/>
      <c r="AI25" s="100">
        <v>150</v>
      </c>
      <c r="AJ25" s="100"/>
      <c r="AK25" s="100"/>
      <c r="AL25" s="100"/>
      <c r="AM25" s="100"/>
      <c r="AN25" s="100"/>
      <c r="AO25" s="100"/>
      <c r="AP25" s="100"/>
      <c r="AQ25" s="100"/>
      <c r="AR25" s="100"/>
      <c r="AS25" s="101">
        <f t="shared" si="19"/>
        <v>0</v>
      </c>
      <c r="AT25" s="100"/>
      <c r="AU25" s="100"/>
      <c r="AV25" s="100"/>
      <c r="AW25" s="100"/>
      <c r="AX25" s="100"/>
      <c r="AY25" s="100"/>
      <c r="AZ25" s="100"/>
      <c r="BA25" s="100"/>
      <c r="BB25" s="100">
        <f>5555+2860</f>
        <v>8415</v>
      </c>
      <c r="BC25" s="100"/>
      <c r="BD25" s="100"/>
      <c r="BE25" s="100"/>
      <c r="BF25" s="100"/>
      <c r="BG25" s="100"/>
      <c r="BH25" s="103"/>
      <c r="BJ25" s="173">
        <f t="shared" si="20"/>
        <v>11305</v>
      </c>
    </row>
    <row r="26" spans="1:104" s="170" customFormat="1" ht="15.75" customHeight="1" x14ac:dyDescent="0.2">
      <c r="A26" s="23"/>
      <c r="B26" s="19" t="s">
        <v>99</v>
      </c>
      <c r="C26" s="107" t="s">
        <v>104</v>
      </c>
      <c r="D26" s="99">
        <f t="shared" si="13"/>
        <v>418194</v>
      </c>
      <c r="E26" s="99">
        <f t="shared" si="14"/>
        <v>410950</v>
      </c>
      <c r="F26" s="222">
        <v>306700</v>
      </c>
      <c r="G26" s="222">
        <v>72400</v>
      </c>
      <c r="H26" s="101">
        <f t="shared" si="15"/>
        <v>15170</v>
      </c>
      <c r="I26" s="100"/>
      <c r="J26" s="100"/>
      <c r="K26" s="100"/>
      <c r="L26" s="100">
        <v>13170</v>
      </c>
      <c r="M26" s="100">
        <v>2000</v>
      </c>
      <c r="N26" s="101"/>
      <c r="O26" s="101"/>
      <c r="P26" s="101"/>
      <c r="Q26" s="100">
        <v>5000</v>
      </c>
      <c r="R26" s="101">
        <f t="shared" si="16"/>
        <v>10244</v>
      </c>
      <c r="S26" s="101">
        <f t="shared" si="17"/>
        <v>3000</v>
      </c>
      <c r="T26" s="100">
        <v>3000</v>
      </c>
      <c r="U26" s="100"/>
      <c r="V26" s="100"/>
      <c r="W26" s="100">
        <v>4984</v>
      </c>
      <c r="X26" s="100"/>
      <c r="Y26" s="100">
        <v>247</v>
      </c>
      <c r="Z26" s="100"/>
      <c r="AA26" s="100"/>
      <c r="AB26" s="100"/>
      <c r="AC26" s="100">
        <v>2013</v>
      </c>
      <c r="AD26" s="100"/>
      <c r="AE26" s="101">
        <f t="shared" si="18"/>
        <v>720</v>
      </c>
      <c r="AF26" s="100"/>
      <c r="AG26" s="100"/>
      <c r="AH26" s="100"/>
      <c r="AI26" s="100"/>
      <c r="AJ26" s="100"/>
      <c r="AK26" s="100"/>
      <c r="AL26" s="100"/>
      <c r="AM26" s="100">
        <v>720</v>
      </c>
      <c r="AN26" s="100"/>
      <c r="AO26" s="100"/>
      <c r="AP26" s="100"/>
      <c r="AQ26" s="100"/>
      <c r="AR26" s="100"/>
      <c r="AS26" s="101">
        <f t="shared" si="19"/>
        <v>0</v>
      </c>
      <c r="AT26" s="100"/>
      <c r="AU26" s="100"/>
      <c r="AV26" s="100"/>
      <c r="AW26" s="100"/>
      <c r="AX26" s="100"/>
      <c r="AY26" s="100"/>
      <c r="AZ26" s="100"/>
      <c r="BA26" s="100"/>
      <c r="BB26" s="100">
        <f>2200+2900+2860</f>
        <v>7960</v>
      </c>
      <c r="BC26" s="100"/>
      <c r="BD26" s="100"/>
      <c r="BE26" s="100"/>
      <c r="BF26" s="100"/>
      <c r="BG26" s="100"/>
      <c r="BH26" s="103"/>
      <c r="BJ26" s="173">
        <f t="shared" si="20"/>
        <v>12960</v>
      </c>
    </row>
    <row r="27" spans="1:104" s="170" customFormat="1" ht="15.75" customHeight="1" x14ac:dyDescent="0.2">
      <c r="A27" s="23"/>
      <c r="B27" s="19" t="s">
        <v>99</v>
      </c>
      <c r="C27" s="107" t="s">
        <v>105</v>
      </c>
      <c r="D27" s="99">
        <f t="shared" si="13"/>
        <v>514445</v>
      </c>
      <c r="E27" s="99">
        <f t="shared" si="14"/>
        <v>495358</v>
      </c>
      <c r="F27" s="222">
        <v>372800</v>
      </c>
      <c r="G27" s="222">
        <v>87800</v>
      </c>
      <c r="H27" s="101">
        <f t="shared" si="15"/>
        <v>18728</v>
      </c>
      <c r="I27" s="100"/>
      <c r="J27" s="100"/>
      <c r="K27" s="100"/>
      <c r="L27" s="100">
        <v>17688</v>
      </c>
      <c r="M27" s="100">
        <v>1040</v>
      </c>
      <c r="N27" s="101"/>
      <c r="O27" s="101"/>
      <c r="P27" s="101"/>
      <c r="Q27" s="100">
        <v>5000</v>
      </c>
      <c r="R27" s="101">
        <f t="shared" si="16"/>
        <v>19087</v>
      </c>
      <c r="S27" s="101">
        <f t="shared" si="17"/>
        <v>0</v>
      </c>
      <c r="T27" s="100"/>
      <c r="U27" s="100">
        <v>17537</v>
      </c>
      <c r="V27" s="100"/>
      <c r="W27" s="100">
        <v>1172</v>
      </c>
      <c r="X27" s="100"/>
      <c r="Y27" s="100">
        <v>378</v>
      </c>
      <c r="Z27" s="100"/>
      <c r="AA27" s="100"/>
      <c r="AB27" s="100"/>
      <c r="AC27" s="100"/>
      <c r="AD27" s="100"/>
      <c r="AE27" s="101">
        <f t="shared" si="18"/>
        <v>1800</v>
      </c>
      <c r="AF27" s="100"/>
      <c r="AG27" s="100"/>
      <c r="AH27" s="100"/>
      <c r="AI27" s="100"/>
      <c r="AJ27" s="100"/>
      <c r="AK27" s="100"/>
      <c r="AL27" s="100"/>
      <c r="AM27" s="100">
        <v>1800</v>
      </c>
      <c r="AN27" s="100"/>
      <c r="AO27" s="100"/>
      <c r="AP27" s="100"/>
      <c r="AQ27" s="100"/>
      <c r="AR27" s="100"/>
      <c r="AS27" s="101">
        <f t="shared" si="19"/>
        <v>0</v>
      </c>
      <c r="AT27" s="100"/>
      <c r="AU27" s="100"/>
      <c r="AV27" s="100"/>
      <c r="AW27" s="100"/>
      <c r="AX27" s="100"/>
      <c r="AY27" s="100"/>
      <c r="AZ27" s="100"/>
      <c r="BA27" s="100"/>
      <c r="BB27" s="100">
        <f>6370+2860</f>
        <v>9230</v>
      </c>
      <c r="BC27" s="100"/>
      <c r="BD27" s="100"/>
      <c r="BE27" s="100"/>
      <c r="BF27" s="100"/>
      <c r="BG27" s="100"/>
      <c r="BH27" s="103"/>
      <c r="BJ27" s="173">
        <f t="shared" si="20"/>
        <v>10270</v>
      </c>
      <c r="CZ27" s="170">
        <v>0</v>
      </c>
    </row>
    <row r="28" spans="1:104" s="170" customFormat="1" ht="15.75" customHeight="1" x14ac:dyDescent="0.2">
      <c r="A28" s="23"/>
      <c r="B28" s="19" t="s">
        <v>99</v>
      </c>
      <c r="C28" s="107" t="s">
        <v>106</v>
      </c>
      <c r="D28" s="99">
        <f t="shared" si="13"/>
        <v>484767</v>
      </c>
      <c r="E28" s="99">
        <f t="shared" si="14"/>
        <v>461935</v>
      </c>
      <c r="F28" s="222">
        <v>349250</v>
      </c>
      <c r="G28" s="222">
        <v>82750</v>
      </c>
      <c r="H28" s="101">
        <f t="shared" si="15"/>
        <v>17855</v>
      </c>
      <c r="I28" s="100"/>
      <c r="J28" s="100"/>
      <c r="K28" s="100"/>
      <c r="L28" s="100">
        <v>16580</v>
      </c>
      <c r="M28" s="100">
        <v>1275</v>
      </c>
      <c r="N28" s="101"/>
      <c r="O28" s="101"/>
      <c r="P28" s="101"/>
      <c r="Q28" s="100">
        <v>5100</v>
      </c>
      <c r="R28" s="101">
        <f t="shared" si="16"/>
        <v>23832</v>
      </c>
      <c r="S28" s="101">
        <f t="shared" si="17"/>
        <v>1000</v>
      </c>
      <c r="T28" s="100">
        <v>1000</v>
      </c>
      <c r="U28" s="100">
        <v>19131</v>
      </c>
      <c r="V28" s="100"/>
      <c r="W28" s="100">
        <v>2100</v>
      </c>
      <c r="X28" s="100"/>
      <c r="Y28" s="100">
        <v>108</v>
      </c>
      <c r="Z28" s="100"/>
      <c r="AA28" s="100"/>
      <c r="AB28" s="100"/>
      <c r="AC28" s="100">
        <v>1493</v>
      </c>
      <c r="AD28" s="100"/>
      <c r="AE28" s="101">
        <f t="shared" si="18"/>
        <v>720</v>
      </c>
      <c r="AF28" s="100"/>
      <c r="AG28" s="100"/>
      <c r="AH28" s="100"/>
      <c r="AI28" s="100"/>
      <c r="AJ28" s="100"/>
      <c r="AK28" s="100"/>
      <c r="AL28" s="100"/>
      <c r="AM28" s="100">
        <v>720</v>
      </c>
      <c r="AN28" s="100"/>
      <c r="AO28" s="100"/>
      <c r="AP28" s="100"/>
      <c r="AQ28" s="100"/>
      <c r="AR28" s="100"/>
      <c r="AS28" s="101">
        <f t="shared" si="19"/>
        <v>0</v>
      </c>
      <c r="AT28" s="100"/>
      <c r="AU28" s="100"/>
      <c r="AV28" s="100"/>
      <c r="AW28" s="100"/>
      <c r="AX28" s="100"/>
      <c r="AY28" s="100"/>
      <c r="AZ28" s="100"/>
      <c r="BA28" s="100"/>
      <c r="BB28" s="100">
        <f>2400+2860</f>
        <v>5260</v>
      </c>
      <c r="BC28" s="100"/>
      <c r="BD28" s="100"/>
      <c r="BE28" s="100"/>
      <c r="BF28" s="100"/>
      <c r="BG28" s="100"/>
      <c r="BH28" s="103"/>
      <c r="BJ28" s="173">
        <f t="shared" si="20"/>
        <v>7535</v>
      </c>
    </row>
    <row r="29" spans="1:104" s="170" customFormat="1" ht="15.75" customHeight="1" x14ac:dyDescent="0.2">
      <c r="A29" s="23"/>
      <c r="B29" s="19" t="s">
        <v>99</v>
      </c>
      <c r="C29" s="107" t="s">
        <v>319</v>
      </c>
      <c r="D29" s="99">
        <f t="shared" si="13"/>
        <v>378030</v>
      </c>
      <c r="E29" s="99">
        <f t="shared" si="14"/>
        <v>375890</v>
      </c>
      <c r="F29" s="222">
        <v>274600</v>
      </c>
      <c r="G29" s="222">
        <v>64900</v>
      </c>
      <c r="H29" s="101">
        <f t="shared" si="15"/>
        <v>16960</v>
      </c>
      <c r="I29" s="100"/>
      <c r="J29" s="100"/>
      <c r="K29" s="100"/>
      <c r="L29" s="100">
        <v>15920</v>
      </c>
      <c r="M29" s="100">
        <v>1040</v>
      </c>
      <c r="N29" s="101"/>
      <c r="O29" s="101"/>
      <c r="P29" s="101"/>
      <c r="Q29" s="100">
        <v>4320</v>
      </c>
      <c r="R29" s="101">
        <f t="shared" si="16"/>
        <v>3390</v>
      </c>
      <c r="S29" s="101">
        <f t="shared" si="17"/>
        <v>1250</v>
      </c>
      <c r="T29" s="100">
        <v>1250</v>
      </c>
      <c r="U29" s="100"/>
      <c r="V29" s="100"/>
      <c r="W29" s="100">
        <v>694</v>
      </c>
      <c r="X29" s="100"/>
      <c r="Y29" s="100"/>
      <c r="Z29" s="100"/>
      <c r="AA29" s="100"/>
      <c r="AB29" s="100"/>
      <c r="AC29" s="100">
        <v>1446</v>
      </c>
      <c r="AD29" s="100"/>
      <c r="AE29" s="101">
        <f t="shared" si="18"/>
        <v>2700</v>
      </c>
      <c r="AF29" s="100">
        <v>300</v>
      </c>
      <c r="AG29" s="100"/>
      <c r="AH29" s="100"/>
      <c r="AI29" s="100">
        <v>300</v>
      </c>
      <c r="AJ29" s="100"/>
      <c r="AK29" s="100"/>
      <c r="AL29" s="100">
        <v>300</v>
      </c>
      <c r="AM29" s="100">
        <v>1800</v>
      </c>
      <c r="AN29" s="100"/>
      <c r="AO29" s="100"/>
      <c r="AP29" s="100"/>
      <c r="AQ29" s="100"/>
      <c r="AR29" s="100"/>
      <c r="AS29" s="101">
        <f t="shared" si="19"/>
        <v>0</v>
      </c>
      <c r="AT29" s="100"/>
      <c r="AU29" s="100"/>
      <c r="AV29" s="100"/>
      <c r="AW29" s="100"/>
      <c r="AX29" s="100"/>
      <c r="AY29" s="100"/>
      <c r="AZ29" s="100"/>
      <c r="BA29" s="100"/>
      <c r="BB29" s="100">
        <f>8300+2860</f>
        <v>11160</v>
      </c>
      <c r="BC29" s="100"/>
      <c r="BD29" s="100"/>
      <c r="BE29" s="100"/>
      <c r="BF29" s="100"/>
      <c r="BG29" s="100"/>
      <c r="BH29" s="103"/>
      <c r="BJ29" s="173">
        <f t="shared" si="20"/>
        <v>14350</v>
      </c>
    </row>
    <row r="30" spans="1:104" s="170" customFormat="1" ht="15.75" customHeight="1" x14ac:dyDescent="0.2">
      <c r="A30" s="23"/>
      <c r="B30" s="19" t="s">
        <v>99</v>
      </c>
      <c r="C30" s="107" t="s">
        <v>107</v>
      </c>
      <c r="D30" s="99">
        <f t="shared" si="13"/>
        <v>449440</v>
      </c>
      <c r="E30" s="99">
        <f t="shared" si="14"/>
        <v>446426</v>
      </c>
      <c r="F30" s="222">
        <v>336300</v>
      </c>
      <c r="G30" s="222">
        <v>78250</v>
      </c>
      <c r="H30" s="101">
        <f t="shared" si="15"/>
        <v>16466</v>
      </c>
      <c r="I30" s="100"/>
      <c r="J30" s="100"/>
      <c r="K30" s="100"/>
      <c r="L30" s="100">
        <v>14966</v>
      </c>
      <c r="M30" s="100">
        <v>1500</v>
      </c>
      <c r="N30" s="101"/>
      <c r="O30" s="101"/>
      <c r="P30" s="101"/>
      <c r="Q30" s="100">
        <v>4500</v>
      </c>
      <c r="R30" s="101">
        <f t="shared" si="16"/>
        <v>5014</v>
      </c>
      <c r="S30" s="101">
        <f t="shared" si="17"/>
        <v>2000</v>
      </c>
      <c r="T30" s="100">
        <v>2000</v>
      </c>
      <c r="U30" s="100"/>
      <c r="V30" s="100"/>
      <c r="W30" s="100">
        <v>1136</v>
      </c>
      <c r="X30" s="100"/>
      <c r="Y30" s="100">
        <v>85</v>
      </c>
      <c r="Z30" s="100"/>
      <c r="AA30" s="100"/>
      <c r="AB30" s="100"/>
      <c r="AC30" s="100">
        <v>1793</v>
      </c>
      <c r="AD30" s="100"/>
      <c r="AE30" s="101">
        <f t="shared" si="18"/>
        <v>1000</v>
      </c>
      <c r="AF30" s="100">
        <v>1000</v>
      </c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1">
        <f t="shared" si="19"/>
        <v>0</v>
      </c>
      <c r="AT30" s="100"/>
      <c r="AU30" s="100"/>
      <c r="AV30" s="100"/>
      <c r="AW30" s="100"/>
      <c r="AX30" s="100"/>
      <c r="AY30" s="100"/>
      <c r="AZ30" s="100"/>
      <c r="BA30" s="100"/>
      <c r="BB30" s="100">
        <f>2100+2950+2860</f>
        <v>7910</v>
      </c>
      <c r="BC30" s="100"/>
      <c r="BD30" s="100"/>
      <c r="BE30" s="100"/>
      <c r="BF30" s="100"/>
      <c r="BG30" s="100"/>
      <c r="BH30" s="103"/>
      <c r="BJ30" s="173">
        <f t="shared" si="20"/>
        <v>12410</v>
      </c>
    </row>
    <row r="31" spans="1:104" s="170" customFormat="1" ht="15.75" x14ac:dyDescent="0.2">
      <c r="A31" s="52"/>
      <c r="B31" s="58"/>
      <c r="C31" s="171" t="s">
        <v>108</v>
      </c>
      <c r="D31" s="108">
        <f>SUM(D22:D30)</f>
        <v>4079266</v>
      </c>
      <c r="E31" s="108">
        <f>SUM(E22:E30)</f>
        <v>4008588</v>
      </c>
      <c r="F31" s="104">
        <f t="shared" ref="F31:G31" si="21">SUM(F22:F30)</f>
        <v>3007620</v>
      </c>
      <c r="G31" s="101">
        <f t="shared" si="21"/>
        <v>706350</v>
      </c>
      <c r="H31" s="101">
        <f t="shared" ref="H31:AL31" si="22">SUM(H22:H30)</f>
        <v>155678</v>
      </c>
      <c r="I31" s="101">
        <f t="shared" si="22"/>
        <v>0</v>
      </c>
      <c r="J31" s="101">
        <f t="shared" si="22"/>
        <v>0</v>
      </c>
      <c r="K31" s="101">
        <f t="shared" si="22"/>
        <v>0</v>
      </c>
      <c r="L31" s="101">
        <f t="shared" si="22"/>
        <v>144080</v>
      </c>
      <c r="M31" s="101">
        <f t="shared" si="22"/>
        <v>11598</v>
      </c>
      <c r="N31" s="101">
        <f t="shared" si="22"/>
        <v>0</v>
      </c>
      <c r="O31" s="101">
        <f t="shared" si="22"/>
        <v>0</v>
      </c>
      <c r="P31" s="101">
        <f t="shared" si="22"/>
        <v>0</v>
      </c>
      <c r="Q31" s="101">
        <f t="shared" si="22"/>
        <v>45920</v>
      </c>
      <c r="R31" s="101">
        <f t="shared" si="22"/>
        <v>82108</v>
      </c>
      <c r="S31" s="101">
        <f t="shared" ref="S31" si="23">SUM(S22:S30)</f>
        <v>11430</v>
      </c>
      <c r="T31" s="101">
        <f t="shared" si="22"/>
        <v>11430</v>
      </c>
      <c r="U31" s="101">
        <f t="shared" si="22"/>
        <v>41845</v>
      </c>
      <c r="V31" s="101">
        <f t="shared" si="22"/>
        <v>0</v>
      </c>
      <c r="W31" s="101">
        <f t="shared" si="22"/>
        <v>15437</v>
      </c>
      <c r="X31" s="101">
        <f t="shared" si="22"/>
        <v>0</v>
      </c>
      <c r="Y31" s="101">
        <f t="shared" si="22"/>
        <v>1578</v>
      </c>
      <c r="Z31" s="101">
        <f t="shared" si="22"/>
        <v>0</v>
      </c>
      <c r="AA31" s="101">
        <f t="shared" si="22"/>
        <v>0</v>
      </c>
      <c r="AB31" s="101">
        <f t="shared" si="22"/>
        <v>0</v>
      </c>
      <c r="AC31" s="101">
        <f t="shared" si="22"/>
        <v>11818</v>
      </c>
      <c r="AD31" s="101">
        <f t="shared" si="22"/>
        <v>0</v>
      </c>
      <c r="AE31" s="101">
        <f t="shared" si="22"/>
        <v>12280</v>
      </c>
      <c r="AF31" s="101">
        <f t="shared" si="22"/>
        <v>1700</v>
      </c>
      <c r="AG31" s="101">
        <f t="shared" si="22"/>
        <v>0</v>
      </c>
      <c r="AH31" s="101">
        <f t="shared" si="22"/>
        <v>0</v>
      </c>
      <c r="AI31" s="101">
        <f t="shared" si="22"/>
        <v>720</v>
      </c>
      <c r="AJ31" s="101">
        <f t="shared" si="22"/>
        <v>0</v>
      </c>
      <c r="AK31" s="101">
        <f t="shared" si="22"/>
        <v>0</v>
      </c>
      <c r="AL31" s="101">
        <f t="shared" si="22"/>
        <v>2300</v>
      </c>
      <c r="AM31" s="101">
        <f t="shared" ref="AM31:AR31" si="24">SUM(AM22:AM30)</f>
        <v>7560</v>
      </c>
      <c r="AN31" s="101">
        <f t="shared" si="24"/>
        <v>0</v>
      </c>
      <c r="AO31" s="101">
        <f t="shared" si="24"/>
        <v>0</v>
      </c>
      <c r="AP31" s="101">
        <f t="shared" si="24"/>
        <v>0</v>
      </c>
      <c r="AQ31" s="101">
        <f t="shared" si="24"/>
        <v>0</v>
      </c>
      <c r="AR31" s="101">
        <f t="shared" si="24"/>
        <v>0</v>
      </c>
      <c r="AS31" s="101">
        <f>SUM(AT31:AY31)</f>
        <v>0</v>
      </c>
      <c r="AT31" s="101">
        <f>SUM(AT22:AT30)</f>
        <v>0</v>
      </c>
      <c r="AU31" s="101">
        <f>SUM(AU22:AU30)</f>
        <v>0</v>
      </c>
      <c r="AV31" s="101"/>
      <c r="AW31" s="101"/>
      <c r="AX31" s="101">
        <f>SUM(AX22:AX30)</f>
        <v>0</v>
      </c>
      <c r="AY31" s="101">
        <f>SUM(AY22:AY30)</f>
        <v>0</v>
      </c>
      <c r="AZ31" s="101">
        <f>SUM(AZ22:AZ30)</f>
        <v>0</v>
      </c>
      <c r="BA31" s="101"/>
      <c r="BB31" s="101">
        <f>SUM(BB22:BB30)</f>
        <v>69310</v>
      </c>
      <c r="BC31" s="100"/>
      <c r="BD31" s="100"/>
      <c r="BE31" s="101"/>
      <c r="BF31" s="101">
        <f>SUM(BF22:BF30)</f>
        <v>0</v>
      </c>
      <c r="BG31" s="101">
        <f>SUM(BG22:BG30)</f>
        <v>0</v>
      </c>
      <c r="BH31" s="106">
        <f>SUM(BH22:BH30)</f>
        <v>0</v>
      </c>
    </row>
    <row r="32" spans="1:104" s="3" customFormat="1" ht="16.5" hidden="1" customHeight="1" x14ac:dyDescent="0.2">
      <c r="A32" s="45"/>
      <c r="B32" s="20"/>
      <c r="C32" s="177"/>
      <c r="D32" s="109"/>
      <c r="E32" s="109"/>
      <c r="F32" s="223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1"/>
      <c r="V32" s="111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2"/>
      <c r="BD32" s="112"/>
      <c r="BE32" s="110"/>
      <c r="BF32" s="110"/>
      <c r="BG32" s="110"/>
      <c r="BH32" s="113"/>
    </row>
    <row r="33" spans="1:60" s="170" customFormat="1" ht="19.5" customHeight="1" thickBot="1" x14ac:dyDescent="0.25">
      <c r="A33" s="23"/>
      <c r="B33" s="19" t="s">
        <v>99</v>
      </c>
      <c r="C33" s="93" t="s">
        <v>100</v>
      </c>
      <c r="D33" s="172">
        <f>F33+G33+H33+N33+P33+Q33+R33+AE33+AS33+BB33+BF33+BG33</f>
        <v>1287958</v>
      </c>
      <c r="E33" s="99">
        <f>F33+G33+H33+O33+N33+P33+Q33+S33+AE33+AS33+BB33+BE33+BG33+BH33</f>
        <v>1287958</v>
      </c>
      <c r="F33" s="220">
        <v>977800</v>
      </c>
      <c r="G33" s="220">
        <v>205000</v>
      </c>
      <c r="H33" s="101">
        <f>SUM(I33:M33)</f>
        <v>67917</v>
      </c>
      <c r="I33" s="100"/>
      <c r="J33" s="100"/>
      <c r="K33" s="100"/>
      <c r="L33" s="100">
        <v>61655</v>
      </c>
      <c r="M33" s="100">
        <v>6262</v>
      </c>
      <c r="N33" s="101"/>
      <c r="O33" s="101"/>
      <c r="P33" s="101"/>
      <c r="Q33" s="100">
        <v>9500</v>
      </c>
      <c r="R33" s="101">
        <f>T33+U33+W33+Y33+AA33+AB33+AC33</f>
        <v>0</v>
      </c>
      <c r="S33" s="101">
        <f>T33+V33+X33+Z33+AA33+AB33+AD33</f>
        <v>0</v>
      </c>
      <c r="T33" s="100"/>
      <c r="U33" s="102"/>
      <c r="V33" s="102"/>
      <c r="W33" s="102"/>
      <c r="X33" s="102"/>
      <c r="Y33" s="100"/>
      <c r="Z33" s="100"/>
      <c r="AA33" s="100"/>
      <c r="AB33" s="100"/>
      <c r="AC33" s="100"/>
      <c r="AD33" s="100"/>
      <c r="AE33" s="101">
        <f>SUM(AF33:AR33)</f>
        <v>26741</v>
      </c>
      <c r="AF33" s="100">
        <v>1000</v>
      </c>
      <c r="AG33" s="100"/>
      <c r="AH33" s="100"/>
      <c r="AI33" s="100"/>
      <c r="AJ33" s="100"/>
      <c r="AK33" s="100"/>
      <c r="AL33" s="100"/>
      <c r="AM33" s="100">
        <v>13320</v>
      </c>
      <c r="AN33" s="100"/>
      <c r="AO33" s="100">
        <v>9371</v>
      </c>
      <c r="AP33" s="100"/>
      <c r="AQ33" s="100"/>
      <c r="AR33" s="100">
        <v>3050</v>
      </c>
      <c r="AS33" s="101">
        <f>SUM(AT33:AZ33)</f>
        <v>0</v>
      </c>
      <c r="AT33" s="100"/>
      <c r="AU33" s="100"/>
      <c r="AV33" s="100"/>
      <c r="AW33" s="100"/>
      <c r="AX33" s="100"/>
      <c r="AY33" s="100"/>
      <c r="AZ33" s="100"/>
      <c r="BA33" s="100"/>
      <c r="BB33" s="100">
        <v>1000</v>
      </c>
      <c r="BC33" s="100"/>
      <c r="BD33" s="100"/>
      <c r="BE33" s="100"/>
      <c r="BF33" s="100"/>
      <c r="BG33" s="100"/>
      <c r="BH33" s="103"/>
    </row>
    <row r="34" spans="1:60" s="3" customFormat="1" ht="16.5" thickBot="1" x14ac:dyDescent="0.25">
      <c r="A34" s="28" t="s">
        <v>10</v>
      </c>
      <c r="B34" s="29" t="s">
        <v>90</v>
      </c>
      <c r="C34" s="114" t="s">
        <v>11</v>
      </c>
      <c r="D34" s="115">
        <f>D36</f>
        <v>163998</v>
      </c>
      <c r="E34" s="115">
        <f>E36</f>
        <v>132634</v>
      </c>
      <c r="F34" s="116">
        <f t="shared" ref="F34:G34" si="25">F36</f>
        <v>102000</v>
      </c>
      <c r="G34" s="117">
        <f t="shared" si="25"/>
        <v>24000</v>
      </c>
      <c r="H34" s="117">
        <f t="shared" ref="H34:AD34" si="26">H36</f>
        <v>2525</v>
      </c>
      <c r="I34" s="117">
        <f t="shared" si="26"/>
        <v>0</v>
      </c>
      <c r="J34" s="117">
        <f t="shared" si="26"/>
        <v>0</v>
      </c>
      <c r="K34" s="117">
        <f t="shared" si="26"/>
        <v>0</v>
      </c>
      <c r="L34" s="117">
        <f t="shared" si="26"/>
        <v>0</v>
      </c>
      <c r="M34" s="117">
        <f t="shared" si="26"/>
        <v>2525</v>
      </c>
      <c r="N34" s="117">
        <f t="shared" si="26"/>
        <v>0</v>
      </c>
      <c r="O34" s="117">
        <f>O36</f>
        <v>0</v>
      </c>
      <c r="P34" s="117">
        <f t="shared" si="26"/>
        <v>0</v>
      </c>
      <c r="Q34" s="117">
        <f t="shared" si="26"/>
        <v>3600</v>
      </c>
      <c r="R34" s="117">
        <f t="shared" si="26"/>
        <v>31773</v>
      </c>
      <c r="S34" s="117">
        <f t="shared" ref="S34" si="27">S36</f>
        <v>409</v>
      </c>
      <c r="T34" s="117">
        <f t="shared" si="26"/>
        <v>409</v>
      </c>
      <c r="U34" s="117">
        <f t="shared" si="26"/>
        <v>27931</v>
      </c>
      <c r="V34" s="117">
        <f t="shared" si="26"/>
        <v>0</v>
      </c>
      <c r="W34" s="117">
        <f t="shared" si="26"/>
        <v>3332</v>
      </c>
      <c r="X34" s="117">
        <f t="shared" si="26"/>
        <v>0</v>
      </c>
      <c r="Y34" s="117">
        <f t="shared" si="26"/>
        <v>101</v>
      </c>
      <c r="Z34" s="117">
        <f t="shared" si="26"/>
        <v>0</v>
      </c>
      <c r="AA34" s="117">
        <f t="shared" si="26"/>
        <v>0</v>
      </c>
      <c r="AB34" s="117">
        <f t="shared" si="26"/>
        <v>0</v>
      </c>
      <c r="AC34" s="117">
        <f t="shared" si="26"/>
        <v>0</v>
      </c>
      <c r="AD34" s="117">
        <f t="shared" si="26"/>
        <v>0</v>
      </c>
      <c r="AE34" s="117">
        <f>AF34+AG34+AI34+AJ34+AK34+AL34+AM34+AN34+AP34+AR34</f>
        <v>100</v>
      </c>
      <c r="AF34" s="117">
        <f t="shared" ref="AF34:AU34" si="28">AF36</f>
        <v>0</v>
      </c>
      <c r="AG34" s="117">
        <f t="shared" si="28"/>
        <v>0</v>
      </c>
      <c r="AH34" s="117">
        <f t="shared" si="28"/>
        <v>0</v>
      </c>
      <c r="AI34" s="117">
        <f t="shared" si="28"/>
        <v>0</v>
      </c>
      <c r="AJ34" s="117">
        <f t="shared" si="28"/>
        <v>0</v>
      </c>
      <c r="AK34" s="117">
        <f t="shared" si="28"/>
        <v>0</v>
      </c>
      <c r="AL34" s="117">
        <f t="shared" si="28"/>
        <v>0</v>
      </c>
      <c r="AM34" s="117">
        <f t="shared" si="28"/>
        <v>0</v>
      </c>
      <c r="AN34" s="117">
        <f t="shared" si="28"/>
        <v>0</v>
      </c>
      <c r="AO34" s="117">
        <f>AO36</f>
        <v>0</v>
      </c>
      <c r="AP34" s="117">
        <f t="shared" si="28"/>
        <v>0</v>
      </c>
      <c r="AQ34" s="117">
        <f t="shared" ref="AQ34" si="29">AQ36</f>
        <v>0</v>
      </c>
      <c r="AR34" s="117">
        <f t="shared" si="28"/>
        <v>100</v>
      </c>
      <c r="AS34" s="117">
        <f t="shared" si="28"/>
        <v>0</v>
      </c>
      <c r="AT34" s="117">
        <f t="shared" si="28"/>
        <v>0</v>
      </c>
      <c r="AU34" s="117">
        <f t="shared" si="28"/>
        <v>0</v>
      </c>
      <c r="AV34" s="117"/>
      <c r="AW34" s="117"/>
      <c r="AX34" s="117"/>
      <c r="AY34" s="117">
        <f>AY36</f>
        <v>0</v>
      </c>
      <c r="AZ34" s="117">
        <f>AZ36</f>
        <v>0</v>
      </c>
      <c r="BA34" s="117"/>
      <c r="BB34" s="117">
        <f>BB36</f>
        <v>0</v>
      </c>
      <c r="BC34" s="119"/>
      <c r="BD34" s="119"/>
      <c r="BE34" s="117">
        <f>BE36</f>
        <v>0</v>
      </c>
      <c r="BF34" s="117">
        <f>BF36</f>
        <v>0</v>
      </c>
      <c r="BG34" s="117">
        <f>BG36</f>
        <v>0</v>
      </c>
      <c r="BH34" s="120">
        <f>BH36</f>
        <v>0</v>
      </c>
    </row>
    <row r="35" spans="1:60" s="3" customFormat="1" ht="15.75" hidden="1" x14ac:dyDescent="0.2">
      <c r="A35" s="30"/>
      <c r="B35" s="31"/>
      <c r="C35" s="203"/>
      <c r="D35" s="121"/>
      <c r="E35" s="121"/>
      <c r="F35" s="224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3"/>
      <c r="V35" s="123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97"/>
      <c r="BD35" s="97"/>
      <c r="BE35" s="122"/>
      <c r="BF35" s="122"/>
      <c r="BG35" s="122"/>
      <c r="BH35" s="124"/>
    </row>
    <row r="36" spans="1:60" s="170" customFormat="1" ht="15.75" x14ac:dyDescent="0.2">
      <c r="A36" s="18" t="s">
        <v>109</v>
      </c>
      <c r="B36" s="19" t="s">
        <v>90</v>
      </c>
      <c r="C36" s="93" t="s">
        <v>12</v>
      </c>
      <c r="D36" s="94">
        <f>D37</f>
        <v>163998</v>
      </c>
      <c r="E36" s="94">
        <f>E37</f>
        <v>132634</v>
      </c>
      <c r="F36" s="104">
        <f t="shared" ref="F36:G36" si="30">F37</f>
        <v>102000</v>
      </c>
      <c r="G36" s="101">
        <f t="shared" si="30"/>
        <v>24000</v>
      </c>
      <c r="H36" s="101">
        <f t="shared" ref="H36:AD36" si="31">H37</f>
        <v>2525</v>
      </c>
      <c r="I36" s="101">
        <f t="shared" si="31"/>
        <v>0</v>
      </c>
      <c r="J36" s="101">
        <f t="shared" si="31"/>
        <v>0</v>
      </c>
      <c r="K36" s="101">
        <f t="shared" si="31"/>
        <v>0</v>
      </c>
      <c r="L36" s="101">
        <f t="shared" si="31"/>
        <v>0</v>
      </c>
      <c r="M36" s="101">
        <f t="shared" si="31"/>
        <v>2525</v>
      </c>
      <c r="N36" s="101">
        <f t="shared" si="31"/>
        <v>0</v>
      </c>
      <c r="O36" s="101">
        <f t="shared" si="31"/>
        <v>0</v>
      </c>
      <c r="P36" s="101">
        <f t="shared" si="31"/>
        <v>0</v>
      </c>
      <c r="Q36" s="101">
        <f t="shared" si="31"/>
        <v>3600</v>
      </c>
      <c r="R36" s="101">
        <f t="shared" si="31"/>
        <v>31773</v>
      </c>
      <c r="S36" s="101">
        <f t="shared" si="31"/>
        <v>409</v>
      </c>
      <c r="T36" s="101">
        <f t="shared" si="31"/>
        <v>409</v>
      </c>
      <c r="U36" s="101">
        <f t="shared" si="31"/>
        <v>27931</v>
      </c>
      <c r="V36" s="101">
        <f t="shared" si="31"/>
        <v>0</v>
      </c>
      <c r="W36" s="101">
        <f t="shared" si="31"/>
        <v>3332</v>
      </c>
      <c r="X36" s="101">
        <f t="shared" si="31"/>
        <v>0</v>
      </c>
      <c r="Y36" s="101">
        <f t="shared" si="31"/>
        <v>101</v>
      </c>
      <c r="Z36" s="101">
        <f t="shared" si="31"/>
        <v>0</v>
      </c>
      <c r="AA36" s="101">
        <f t="shared" si="31"/>
        <v>0</v>
      </c>
      <c r="AB36" s="101">
        <f t="shared" si="31"/>
        <v>0</v>
      </c>
      <c r="AC36" s="101">
        <f t="shared" si="31"/>
        <v>0</v>
      </c>
      <c r="AD36" s="101">
        <f t="shared" si="31"/>
        <v>0</v>
      </c>
      <c r="AE36" s="101">
        <f>AF36+AG36+AI36+AJ36+AK36+AL36+AM36+AN36+AP36+AR36</f>
        <v>100</v>
      </c>
      <c r="AF36" s="101">
        <f t="shared" ref="AF36:AU36" si="32">AF37</f>
        <v>0</v>
      </c>
      <c r="AG36" s="101">
        <f t="shared" si="32"/>
        <v>0</v>
      </c>
      <c r="AH36" s="101">
        <f t="shared" si="32"/>
        <v>0</v>
      </c>
      <c r="AI36" s="101">
        <f t="shared" si="32"/>
        <v>0</v>
      </c>
      <c r="AJ36" s="101">
        <f t="shared" si="32"/>
        <v>0</v>
      </c>
      <c r="AK36" s="101">
        <f t="shared" si="32"/>
        <v>0</v>
      </c>
      <c r="AL36" s="101">
        <f t="shared" si="32"/>
        <v>0</v>
      </c>
      <c r="AM36" s="101">
        <f t="shared" si="32"/>
        <v>0</v>
      </c>
      <c r="AN36" s="101">
        <f t="shared" si="32"/>
        <v>0</v>
      </c>
      <c r="AO36" s="101">
        <f t="shared" si="32"/>
        <v>0</v>
      </c>
      <c r="AP36" s="101">
        <f t="shared" si="32"/>
        <v>0</v>
      </c>
      <c r="AQ36" s="101">
        <f t="shared" si="32"/>
        <v>0</v>
      </c>
      <c r="AR36" s="101">
        <f t="shared" si="32"/>
        <v>100</v>
      </c>
      <c r="AS36" s="101">
        <f t="shared" si="32"/>
        <v>0</v>
      </c>
      <c r="AT36" s="101">
        <f t="shared" si="32"/>
        <v>0</v>
      </c>
      <c r="AU36" s="101">
        <f t="shared" si="32"/>
        <v>0</v>
      </c>
      <c r="AV36" s="101"/>
      <c r="AW36" s="101"/>
      <c r="AX36" s="101"/>
      <c r="AY36" s="101">
        <f>AY37</f>
        <v>0</v>
      </c>
      <c r="AZ36" s="101">
        <f>AZ37</f>
        <v>0</v>
      </c>
      <c r="BA36" s="101"/>
      <c r="BB36" s="101">
        <f>BB37</f>
        <v>0</v>
      </c>
      <c r="BC36" s="100"/>
      <c r="BD36" s="100"/>
      <c r="BE36" s="101">
        <f>BE37</f>
        <v>0</v>
      </c>
      <c r="BF36" s="101">
        <f>BF37</f>
        <v>0</v>
      </c>
      <c r="BG36" s="101">
        <f>BG37</f>
        <v>0</v>
      </c>
      <c r="BH36" s="106">
        <f>BH37</f>
        <v>0</v>
      </c>
    </row>
    <row r="37" spans="1:60" s="170" customFormat="1" ht="18" customHeight="1" thickBot="1" x14ac:dyDescent="0.25">
      <c r="A37" s="52"/>
      <c r="B37" s="22" t="s">
        <v>110</v>
      </c>
      <c r="C37" s="107" t="s">
        <v>13</v>
      </c>
      <c r="D37" s="99">
        <f>F37+G37+H37+N37+P37+Q37+R37+AE37+AS37+BB37+BF37+BG37</f>
        <v>163998</v>
      </c>
      <c r="E37" s="99">
        <f>F37+G37+H37+O37+N37+P37+Q37+S37+AE37+AS37+BB37+BE37+BG37+BH37</f>
        <v>132634</v>
      </c>
      <c r="F37" s="220">
        <v>102000</v>
      </c>
      <c r="G37" s="100">
        <v>24000</v>
      </c>
      <c r="H37" s="101">
        <f>SUM(I37:M37)</f>
        <v>2525</v>
      </c>
      <c r="I37" s="100"/>
      <c r="J37" s="100"/>
      <c r="K37" s="100"/>
      <c r="L37" s="100"/>
      <c r="M37" s="100">
        <v>2525</v>
      </c>
      <c r="N37" s="101"/>
      <c r="O37" s="101"/>
      <c r="P37" s="101"/>
      <c r="Q37" s="100">
        <v>3600</v>
      </c>
      <c r="R37" s="101">
        <f>T37+U37+W37+Y37+AA37+AB37+AC37</f>
        <v>31773</v>
      </c>
      <c r="S37" s="101">
        <f t="shared" ref="S37" si="33">T37+V37+X37+Z37+AA37+AB37+AD37</f>
        <v>409</v>
      </c>
      <c r="T37" s="100">
        <v>409</v>
      </c>
      <c r="U37" s="100">
        <v>27931</v>
      </c>
      <c r="V37" s="100"/>
      <c r="W37" s="100">
        <v>3332</v>
      </c>
      <c r="X37" s="100"/>
      <c r="Y37" s="100">
        <v>101</v>
      </c>
      <c r="Z37" s="100"/>
      <c r="AA37" s="100"/>
      <c r="AB37" s="100"/>
      <c r="AC37" s="100"/>
      <c r="AD37" s="100"/>
      <c r="AE37" s="101">
        <f>SUM(AF37:AR37)</f>
        <v>100</v>
      </c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>
        <v>100</v>
      </c>
      <c r="AS37" s="101">
        <f>SUM(AT37:AZ37)</f>
        <v>0</v>
      </c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3"/>
    </row>
    <row r="38" spans="1:60" s="3" customFormat="1" ht="16.5" hidden="1" customHeight="1" thickBot="1" x14ac:dyDescent="0.25">
      <c r="A38" s="45"/>
      <c r="B38" s="20"/>
      <c r="C38" s="177"/>
      <c r="D38" s="109"/>
      <c r="E38" s="109"/>
      <c r="F38" s="223"/>
      <c r="G38" s="110"/>
      <c r="H38" s="110"/>
      <c r="I38" s="112"/>
      <c r="J38" s="112"/>
      <c r="K38" s="112"/>
      <c r="L38" s="112"/>
      <c r="M38" s="112"/>
      <c r="N38" s="110"/>
      <c r="O38" s="110"/>
      <c r="P38" s="110"/>
      <c r="Q38" s="110"/>
      <c r="R38" s="110"/>
      <c r="S38" s="110"/>
      <c r="T38" s="112"/>
      <c r="U38" s="125"/>
      <c r="V38" s="125"/>
      <c r="W38" s="125"/>
      <c r="X38" s="125"/>
      <c r="Y38" s="112"/>
      <c r="Z38" s="112"/>
      <c r="AA38" s="112"/>
      <c r="AB38" s="112"/>
      <c r="AC38" s="112"/>
      <c r="AD38" s="112"/>
      <c r="AE38" s="110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0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26"/>
    </row>
    <row r="39" spans="1:60" s="3" customFormat="1" ht="16.5" thickBot="1" x14ac:dyDescent="0.25">
      <c r="A39" s="28" t="s">
        <v>14</v>
      </c>
      <c r="B39" s="29" t="s">
        <v>90</v>
      </c>
      <c r="C39" s="114" t="s">
        <v>111</v>
      </c>
      <c r="D39" s="115">
        <f>D41</f>
        <v>104978</v>
      </c>
      <c r="E39" s="115">
        <f>E41</f>
        <v>104978</v>
      </c>
      <c r="F39" s="116">
        <f t="shared" ref="F39:G39" si="34">F41</f>
        <v>0</v>
      </c>
      <c r="G39" s="117">
        <f t="shared" si="34"/>
        <v>0</v>
      </c>
      <c r="H39" s="117">
        <f t="shared" ref="H39:AD39" si="35">H41</f>
        <v>87190</v>
      </c>
      <c r="I39" s="117">
        <f t="shared" si="35"/>
        <v>0</v>
      </c>
      <c r="J39" s="117">
        <f t="shared" si="35"/>
        <v>0</v>
      </c>
      <c r="K39" s="117">
        <f t="shared" si="35"/>
        <v>0</v>
      </c>
      <c r="L39" s="117">
        <f t="shared" si="35"/>
        <v>86000</v>
      </c>
      <c r="M39" s="117">
        <f t="shared" si="35"/>
        <v>1190</v>
      </c>
      <c r="N39" s="117">
        <f t="shared" si="35"/>
        <v>0</v>
      </c>
      <c r="O39" s="117">
        <f>O41</f>
        <v>0</v>
      </c>
      <c r="P39" s="117">
        <f t="shared" si="35"/>
        <v>0</v>
      </c>
      <c r="Q39" s="117">
        <f t="shared" si="35"/>
        <v>14000</v>
      </c>
      <c r="R39" s="117">
        <f t="shared" si="35"/>
        <v>0</v>
      </c>
      <c r="S39" s="117">
        <f t="shared" ref="S39" si="36">S41</f>
        <v>0</v>
      </c>
      <c r="T39" s="117">
        <f t="shared" si="35"/>
        <v>0</v>
      </c>
      <c r="U39" s="117">
        <f t="shared" si="35"/>
        <v>0</v>
      </c>
      <c r="V39" s="117">
        <f t="shared" si="35"/>
        <v>0</v>
      </c>
      <c r="W39" s="117">
        <f t="shared" si="35"/>
        <v>0</v>
      </c>
      <c r="X39" s="117">
        <f t="shared" si="35"/>
        <v>0</v>
      </c>
      <c r="Y39" s="117">
        <f t="shared" si="35"/>
        <v>0</v>
      </c>
      <c r="Z39" s="117">
        <f t="shared" si="35"/>
        <v>0</v>
      </c>
      <c r="AA39" s="117">
        <f t="shared" si="35"/>
        <v>0</v>
      </c>
      <c r="AB39" s="117">
        <f t="shared" si="35"/>
        <v>0</v>
      </c>
      <c r="AC39" s="117">
        <f t="shared" si="35"/>
        <v>0</v>
      </c>
      <c r="AD39" s="117">
        <f t="shared" si="35"/>
        <v>0</v>
      </c>
      <c r="AE39" s="117">
        <f>AF39+AG39+AI39+AJ39+AK39+AL39+AM39+AN39+AO39+AP39+AR39</f>
        <v>1788</v>
      </c>
      <c r="AF39" s="117">
        <f t="shared" ref="AF39:AU39" si="37">AF41</f>
        <v>1500</v>
      </c>
      <c r="AG39" s="117">
        <f t="shared" si="37"/>
        <v>0</v>
      </c>
      <c r="AH39" s="117">
        <f t="shared" si="37"/>
        <v>0</v>
      </c>
      <c r="AI39" s="117">
        <f t="shared" si="37"/>
        <v>288</v>
      </c>
      <c r="AJ39" s="117">
        <f t="shared" si="37"/>
        <v>0</v>
      </c>
      <c r="AK39" s="117">
        <f t="shared" si="37"/>
        <v>0</v>
      </c>
      <c r="AL39" s="117">
        <f t="shared" si="37"/>
        <v>0</v>
      </c>
      <c r="AM39" s="117">
        <f t="shared" si="37"/>
        <v>0</v>
      </c>
      <c r="AN39" s="117">
        <f t="shared" si="37"/>
        <v>0</v>
      </c>
      <c r="AO39" s="117">
        <f>AO41</f>
        <v>0</v>
      </c>
      <c r="AP39" s="117">
        <f t="shared" si="37"/>
        <v>0</v>
      </c>
      <c r="AQ39" s="117">
        <f t="shared" ref="AQ39" si="38">AQ41</f>
        <v>0</v>
      </c>
      <c r="AR39" s="117">
        <f t="shared" si="37"/>
        <v>0</v>
      </c>
      <c r="AS39" s="117">
        <f t="shared" si="37"/>
        <v>0</v>
      </c>
      <c r="AT39" s="117">
        <f t="shared" si="37"/>
        <v>0</v>
      </c>
      <c r="AU39" s="117">
        <f t="shared" si="37"/>
        <v>0</v>
      </c>
      <c r="AV39" s="117"/>
      <c r="AW39" s="117"/>
      <c r="AX39" s="117"/>
      <c r="AY39" s="117">
        <f>AY41</f>
        <v>0</v>
      </c>
      <c r="AZ39" s="117">
        <f>AZ41</f>
        <v>0</v>
      </c>
      <c r="BA39" s="117">
        <f>BA41</f>
        <v>0</v>
      </c>
      <c r="BB39" s="117">
        <f>BB41</f>
        <v>2000</v>
      </c>
      <c r="BC39" s="119"/>
      <c r="BD39" s="119"/>
      <c r="BE39" s="117"/>
      <c r="BF39" s="117"/>
      <c r="BG39" s="117"/>
      <c r="BH39" s="120"/>
    </row>
    <row r="40" spans="1:60" s="3" customFormat="1" ht="15.75" hidden="1" x14ac:dyDescent="0.2">
      <c r="A40" s="30"/>
      <c r="B40" s="31"/>
      <c r="C40" s="203"/>
      <c r="D40" s="121"/>
      <c r="E40" s="121"/>
      <c r="F40" s="224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3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97"/>
      <c r="BD40" s="97"/>
      <c r="BE40" s="122"/>
      <c r="BF40" s="122"/>
      <c r="BG40" s="122"/>
      <c r="BH40" s="124"/>
    </row>
    <row r="41" spans="1:60" s="170" customFormat="1" ht="15.75" x14ac:dyDescent="0.2">
      <c r="A41" s="18" t="s">
        <v>112</v>
      </c>
      <c r="B41" s="19" t="s">
        <v>90</v>
      </c>
      <c r="C41" s="93" t="s">
        <v>15</v>
      </c>
      <c r="D41" s="94">
        <f>D42</f>
        <v>104978</v>
      </c>
      <c r="E41" s="94">
        <f>E42</f>
        <v>104978</v>
      </c>
      <c r="F41" s="104">
        <f t="shared" ref="F41:G41" si="39">F42</f>
        <v>0</v>
      </c>
      <c r="G41" s="101">
        <f t="shared" si="39"/>
        <v>0</v>
      </c>
      <c r="H41" s="101">
        <f t="shared" ref="H41:AD41" si="40">H42</f>
        <v>87190</v>
      </c>
      <c r="I41" s="101">
        <f t="shared" si="40"/>
        <v>0</v>
      </c>
      <c r="J41" s="101">
        <f t="shared" si="40"/>
        <v>0</v>
      </c>
      <c r="K41" s="101">
        <f t="shared" si="40"/>
        <v>0</v>
      </c>
      <c r="L41" s="101">
        <f t="shared" si="40"/>
        <v>86000</v>
      </c>
      <c r="M41" s="101">
        <f t="shared" si="40"/>
        <v>1190</v>
      </c>
      <c r="N41" s="101">
        <f t="shared" si="40"/>
        <v>0</v>
      </c>
      <c r="O41" s="101">
        <f t="shared" si="40"/>
        <v>0</v>
      </c>
      <c r="P41" s="101">
        <f t="shared" si="40"/>
        <v>0</v>
      </c>
      <c r="Q41" s="101">
        <f t="shared" si="40"/>
        <v>14000</v>
      </c>
      <c r="R41" s="101">
        <f t="shared" si="40"/>
        <v>0</v>
      </c>
      <c r="S41" s="101">
        <f t="shared" si="40"/>
        <v>0</v>
      </c>
      <c r="T41" s="101">
        <f t="shared" si="40"/>
        <v>0</v>
      </c>
      <c r="U41" s="101">
        <f t="shared" si="40"/>
        <v>0</v>
      </c>
      <c r="V41" s="101">
        <f t="shared" si="40"/>
        <v>0</v>
      </c>
      <c r="W41" s="101">
        <f t="shared" si="40"/>
        <v>0</v>
      </c>
      <c r="X41" s="101">
        <f t="shared" si="40"/>
        <v>0</v>
      </c>
      <c r="Y41" s="101">
        <f t="shared" si="40"/>
        <v>0</v>
      </c>
      <c r="Z41" s="101">
        <f t="shared" si="40"/>
        <v>0</v>
      </c>
      <c r="AA41" s="101">
        <f t="shared" si="40"/>
        <v>0</v>
      </c>
      <c r="AB41" s="101">
        <f t="shared" si="40"/>
        <v>0</v>
      </c>
      <c r="AC41" s="101">
        <f t="shared" si="40"/>
        <v>0</v>
      </c>
      <c r="AD41" s="101">
        <f t="shared" si="40"/>
        <v>0</v>
      </c>
      <c r="AE41" s="101">
        <f>AF41+AG41+AI41+AJ41+AK41+AL41+AM41+AN41+AO41+AP41+AR41</f>
        <v>1788</v>
      </c>
      <c r="AF41" s="101">
        <f t="shared" ref="AF41:AU41" si="41">AF42</f>
        <v>1500</v>
      </c>
      <c r="AG41" s="101">
        <f t="shared" si="41"/>
        <v>0</v>
      </c>
      <c r="AH41" s="101">
        <f t="shared" si="41"/>
        <v>0</v>
      </c>
      <c r="AI41" s="101">
        <f t="shared" si="41"/>
        <v>288</v>
      </c>
      <c r="AJ41" s="101">
        <f t="shared" si="41"/>
        <v>0</v>
      </c>
      <c r="AK41" s="101">
        <f t="shared" si="41"/>
        <v>0</v>
      </c>
      <c r="AL41" s="101">
        <f t="shared" si="41"/>
        <v>0</v>
      </c>
      <c r="AM41" s="101">
        <f t="shared" si="41"/>
        <v>0</v>
      </c>
      <c r="AN41" s="101">
        <f t="shared" si="41"/>
        <v>0</v>
      </c>
      <c r="AO41" s="101">
        <f t="shared" si="41"/>
        <v>0</v>
      </c>
      <c r="AP41" s="101">
        <f t="shared" si="41"/>
        <v>0</v>
      </c>
      <c r="AQ41" s="101">
        <f t="shared" si="41"/>
        <v>0</v>
      </c>
      <c r="AR41" s="101">
        <f t="shared" si="41"/>
        <v>0</v>
      </c>
      <c r="AS41" s="101">
        <f t="shared" si="41"/>
        <v>0</v>
      </c>
      <c r="AT41" s="101">
        <f t="shared" si="41"/>
        <v>0</v>
      </c>
      <c r="AU41" s="101">
        <f t="shared" si="41"/>
        <v>0</v>
      </c>
      <c r="AV41" s="101"/>
      <c r="AW41" s="101"/>
      <c r="AX41" s="101"/>
      <c r="AY41" s="101">
        <f>AY42</f>
        <v>0</v>
      </c>
      <c r="AZ41" s="101">
        <f>AZ42</f>
        <v>0</v>
      </c>
      <c r="BA41" s="101">
        <f>BA42</f>
        <v>0</v>
      </c>
      <c r="BB41" s="101">
        <f>BB42</f>
        <v>2000</v>
      </c>
      <c r="BC41" s="100"/>
      <c r="BD41" s="100"/>
      <c r="BE41" s="101"/>
      <c r="BF41" s="101"/>
      <c r="BG41" s="100"/>
      <c r="BH41" s="106"/>
    </row>
    <row r="42" spans="1:60" s="170" customFormat="1" ht="18" customHeight="1" thickBot="1" x14ac:dyDescent="0.25">
      <c r="A42" s="23"/>
      <c r="B42" s="19" t="s">
        <v>113</v>
      </c>
      <c r="C42" s="93" t="s">
        <v>16</v>
      </c>
      <c r="D42" s="99">
        <f>F42+G42+H42+N42+P42+Q42+R42+AE42+AS42+BB42+BA42+BF42</f>
        <v>104978</v>
      </c>
      <c r="E42" s="99">
        <f>F42+G42+H42+O42+N42+P42+Q42+S42+AE42+AS42+BA42+BB42+BE42+BG42+BH42</f>
        <v>104978</v>
      </c>
      <c r="F42" s="220"/>
      <c r="G42" s="101">
        <v>0</v>
      </c>
      <c r="H42" s="101">
        <f>SUM(I42:M42)</f>
        <v>87190</v>
      </c>
      <c r="I42" s="100"/>
      <c r="J42" s="100"/>
      <c r="K42" s="100"/>
      <c r="L42" s="100">
        <v>86000</v>
      </c>
      <c r="M42" s="100">
        <v>1190</v>
      </c>
      <c r="N42" s="101"/>
      <c r="O42" s="101"/>
      <c r="P42" s="101"/>
      <c r="Q42" s="100">
        <v>14000</v>
      </c>
      <c r="R42" s="101">
        <f>T42+U42+W42+Y42+AA42+AB42+AC42</f>
        <v>0</v>
      </c>
      <c r="S42" s="101">
        <f t="shared" ref="S42" si="42">T42+V42+X42+Z42+AA42+AB42+AD42</f>
        <v>0</v>
      </c>
      <c r="T42" s="100"/>
      <c r="U42" s="102"/>
      <c r="V42" s="102"/>
      <c r="W42" s="100"/>
      <c r="X42" s="100"/>
      <c r="Y42" s="100"/>
      <c r="Z42" s="100"/>
      <c r="AA42" s="100"/>
      <c r="AB42" s="100"/>
      <c r="AC42" s="100"/>
      <c r="AD42" s="100"/>
      <c r="AE42" s="101">
        <f>SUM(AF42:AR42)</f>
        <v>1788</v>
      </c>
      <c r="AF42" s="100">
        <v>1500</v>
      </c>
      <c r="AG42" s="100"/>
      <c r="AH42" s="100"/>
      <c r="AI42" s="100">
        <v>288</v>
      </c>
      <c r="AJ42" s="100"/>
      <c r="AK42" s="100"/>
      <c r="AL42" s="100"/>
      <c r="AM42" s="100"/>
      <c r="AN42" s="100"/>
      <c r="AO42" s="100"/>
      <c r="AP42" s="100"/>
      <c r="AQ42" s="100"/>
      <c r="AR42" s="100"/>
      <c r="AS42" s="101">
        <f>SUM(AT42:AZ43)</f>
        <v>0</v>
      </c>
      <c r="AT42" s="100"/>
      <c r="AU42" s="100"/>
      <c r="AV42" s="100"/>
      <c r="AW42" s="100"/>
      <c r="AX42" s="100"/>
      <c r="AY42" s="100"/>
      <c r="AZ42" s="100"/>
      <c r="BA42" s="100"/>
      <c r="BB42" s="100">
        <v>2000</v>
      </c>
      <c r="BC42" s="100"/>
      <c r="BD42" s="100"/>
      <c r="BE42" s="100"/>
      <c r="BF42" s="100"/>
      <c r="BG42" s="100"/>
      <c r="BH42" s="103"/>
    </row>
    <row r="43" spans="1:60" s="3" customFormat="1" ht="16.5" hidden="1" customHeight="1" thickBot="1" x14ac:dyDescent="0.25">
      <c r="A43" s="45"/>
      <c r="B43" s="20"/>
      <c r="C43" s="177"/>
      <c r="D43" s="109"/>
      <c r="E43" s="109"/>
      <c r="F43" s="225"/>
      <c r="G43" s="110"/>
      <c r="H43" s="110"/>
      <c r="I43" s="112"/>
      <c r="J43" s="112"/>
      <c r="K43" s="112"/>
      <c r="L43" s="112"/>
      <c r="M43" s="112"/>
      <c r="N43" s="110"/>
      <c r="O43" s="110"/>
      <c r="P43" s="110"/>
      <c r="Q43" s="110"/>
      <c r="R43" s="110"/>
      <c r="S43" s="110"/>
      <c r="T43" s="112"/>
      <c r="U43" s="125"/>
      <c r="V43" s="125"/>
      <c r="W43" s="112"/>
      <c r="X43" s="112"/>
      <c r="Y43" s="112"/>
      <c r="Z43" s="112"/>
      <c r="AA43" s="112"/>
      <c r="AB43" s="112"/>
      <c r="AC43" s="112"/>
      <c r="AD43" s="112"/>
      <c r="AE43" s="110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0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26"/>
    </row>
    <row r="44" spans="1:60" s="3" customFormat="1" ht="16.5" thickBot="1" x14ac:dyDescent="0.25">
      <c r="A44" s="28" t="s">
        <v>17</v>
      </c>
      <c r="B44" s="29" t="s">
        <v>90</v>
      </c>
      <c r="C44" s="114" t="s">
        <v>18</v>
      </c>
      <c r="D44" s="115">
        <f>D45</f>
        <v>195000</v>
      </c>
      <c r="E44" s="115">
        <f>E45</f>
        <v>195000</v>
      </c>
      <c r="F44" s="116">
        <f t="shared" ref="F44:G45" si="43">F45</f>
        <v>0</v>
      </c>
      <c r="G44" s="117">
        <f t="shared" si="43"/>
        <v>0</v>
      </c>
      <c r="H44" s="117">
        <f t="shared" ref="H44:W45" si="44">H45</f>
        <v>0</v>
      </c>
      <c r="I44" s="117">
        <f t="shared" si="44"/>
        <v>0</v>
      </c>
      <c r="J44" s="117">
        <f t="shared" si="44"/>
        <v>0</v>
      </c>
      <c r="K44" s="117">
        <f t="shared" si="44"/>
        <v>0</v>
      </c>
      <c r="L44" s="117">
        <f t="shared" si="44"/>
        <v>0</v>
      </c>
      <c r="M44" s="117">
        <f t="shared" si="44"/>
        <v>0</v>
      </c>
      <c r="N44" s="117">
        <f t="shared" si="44"/>
        <v>0</v>
      </c>
      <c r="O44" s="117">
        <f t="shared" si="44"/>
        <v>0</v>
      </c>
      <c r="P44" s="117">
        <f t="shared" si="44"/>
        <v>0</v>
      </c>
      <c r="Q44" s="117">
        <f t="shared" si="44"/>
        <v>0</v>
      </c>
      <c r="R44" s="117">
        <f t="shared" si="44"/>
        <v>0</v>
      </c>
      <c r="S44" s="117">
        <f t="shared" si="44"/>
        <v>0</v>
      </c>
      <c r="T44" s="117">
        <f t="shared" si="44"/>
        <v>0</v>
      </c>
      <c r="U44" s="117">
        <f t="shared" si="44"/>
        <v>0</v>
      </c>
      <c r="V44" s="117">
        <f t="shared" si="44"/>
        <v>0</v>
      </c>
      <c r="W44" s="117">
        <f t="shared" si="44"/>
        <v>0</v>
      </c>
      <c r="X44" s="117">
        <f t="shared" ref="X44:AD44" si="45">X45</f>
        <v>0</v>
      </c>
      <c r="Y44" s="117">
        <f t="shared" si="45"/>
        <v>0</v>
      </c>
      <c r="Z44" s="117">
        <f t="shared" si="45"/>
        <v>0</v>
      </c>
      <c r="AA44" s="117">
        <f t="shared" si="45"/>
        <v>0</v>
      </c>
      <c r="AB44" s="117">
        <f t="shared" si="45"/>
        <v>0</v>
      </c>
      <c r="AC44" s="117">
        <f t="shared" si="45"/>
        <v>0</v>
      </c>
      <c r="AD44" s="117">
        <f t="shared" si="45"/>
        <v>0</v>
      </c>
      <c r="AE44" s="117">
        <f>AF44+AG44+AI44+AJ44+AK44+AL44+AM44+AN44+AP44+AR44</f>
        <v>0</v>
      </c>
      <c r="AF44" s="117">
        <f t="shared" ref="AF44:AU45" si="46">AF45</f>
        <v>0</v>
      </c>
      <c r="AG44" s="117">
        <f t="shared" si="46"/>
        <v>0</v>
      </c>
      <c r="AH44" s="117">
        <f t="shared" si="46"/>
        <v>0</v>
      </c>
      <c r="AI44" s="117">
        <f t="shared" si="46"/>
        <v>0</v>
      </c>
      <c r="AJ44" s="117">
        <f t="shared" si="46"/>
        <v>0</v>
      </c>
      <c r="AK44" s="117">
        <f t="shared" si="46"/>
        <v>0</v>
      </c>
      <c r="AL44" s="117">
        <f t="shared" si="46"/>
        <v>0</v>
      </c>
      <c r="AM44" s="117">
        <f t="shared" si="46"/>
        <v>0</v>
      </c>
      <c r="AN44" s="117">
        <f t="shared" si="46"/>
        <v>0</v>
      </c>
      <c r="AO44" s="117">
        <f t="shared" si="46"/>
        <v>0</v>
      </c>
      <c r="AP44" s="117">
        <f t="shared" si="46"/>
        <v>0</v>
      </c>
      <c r="AQ44" s="117">
        <f t="shared" si="46"/>
        <v>0</v>
      </c>
      <c r="AR44" s="117">
        <f t="shared" si="46"/>
        <v>0</v>
      </c>
      <c r="AS44" s="117">
        <f>AS45</f>
        <v>195000</v>
      </c>
      <c r="AT44" s="117">
        <f t="shared" si="46"/>
        <v>195000</v>
      </c>
      <c r="AU44" s="117">
        <f t="shared" si="46"/>
        <v>0</v>
      </c>
      <c r="AV44" s="117"/>
      <c r="AW44" s="117"/>
      <c r="AX44" s="117"/>
      <c r="AY44" s="117">
        <f t="shared" ref="AY44:BB45" si="47">AY45</f>
        <v>0</v>
      </c>
      <c r="AZ44" s="117">
        <f t="shared" si="47"/>
        <v>0</v>
      </c>
      <c r="BA44" s="117"/>
      <c r="BB44" s="117">
        <f t="shared" si="47"/>
        <v>0</v>
      </c>
      <c r="BC44" s="119"/>
      <c r="BD44" s="119"/>
      <c r="BE44" s="117"/>
      <c r="BF44" s="117"/>
      <c r="BG44" s="117"/>
      <c r="BH44" s="120"/>
    </row>
    <row r="45" spans="1:60" s="170" customFormat="1" ht="14.25" customHeight="1" x14ac:dyDescent="0.2">
      <c r="A45" s="18" t="s">
        <v>114</v>
      </c>
      <c r="B45" s="19" t="s">
        <v>90</v>
      </c>
      <c r="C45" s="93" t="s">
        <v>115</v>
      </c>
      <c r="D45" s="94">
        <f>D46</f>
        <v>195000</v>
      </c>
      <c r="E45" s="94">
        <f>E46</f>
        <v>195000</v>
      </c>
      <c r="F45" s="219">
        <f t="shared" si="43"/>
        <v>0</v>
      </c>
      <c r="G45" s="95">
        <f t="shared" si="43"/>
        <v>0</v>
      </c>
      <c r="H45" s="95">
        <f t="shared" si="44"/>
        <v>0</v>
      </c>
      <c r="I45" s="95">
        <f t="shared" si="44"/>
        <v>0</v>
      </c>
      <c r="J45" s="95">
        <f t="shared" si="44"/>
        <v>0</v>
      </c>
      <c r="K45" s="95">
        <f t="shared" si="44"/>
        <v>0</v>
      </c>
      <c r="L45" s="95">
        <f t="shared" si="44"/>
        <v>0</v>
      </c>
      <c r="M45" s="95">
        <f t="shared" si="44"/>
        <v>0</v>
      </c>
      <c r="N45" s="95">
        <f t="shared" si="44"/>
        <v>0</v>
      </c>
      <c r="O45" s="95">
        <f t="shared" si="44"/>
        <v>0</v>
      </c>
      <c r="P45" s="95">
        <f t="shared" si="44"/>
        <v>0</v>
      </c>
      <c r="Q45" s="95">
        <f>Q46</f>
        <v>0</v>
      </c>
      <c r="R45" s="95">
        <f>T45+U45+W45+Y45+AA45+AB45+AC45</f>
        <v>0</v>
      </c>
      <c r="S45" s="95">
        <f>S46</f>
        <v>0</v>
      </c>
      <c r="T45" s="95"/>
      <c r="U45" s="96"/>
      <c r="V45" s="96"/>
      <c r="W45" s="97"/>
      <c r="X45" s="97"/>
      <c r="Y45" s="97"/>
      <c r="Z45" s="97"/>
      <c r="AA45" s="95"/>
      <c r="AB45" s="95"/>
      <c r="AC45" s="95"/>
      <c r="AD45" s="95"/>
      <c r="AE45" s="95">
        <f>AF45+AG45+AI45+AJ45+AK45+AL45+AM45+AN45+AP45+AR45</f>
        <v>0</v>
      </c>
      <c r="AF45" s="95">
        <f t="shared" si="46"/>
        <v>0</v>
      </c>
      <c r="AG45" s="95">
        <f t="shared" si="46"/>
        <v>0</v>
      </c>
      <c r="AH45" s="95">
        <f t="shared" si="46"/>
        <v>0</v>
      </c>
      <c r="AI45" s="95">
        <f t="shared" si="46"/>
        <v>0</v>
      </c>
      <c r="AJ45" s="95">
        <f t="shared" si="46"/>
        <v>0</v>
      </c>
      <c r="AK45" s="95">
        <f t="shared" si="46"/>
        <v>0</v>
      </c>
      <c r="AL45" s="95">
        <f t="shared" si="46"/>
        <v>0</v>
      </c>
      <c r="AM45" s="95">
        <f t="shared" si="46"/>
        <v>0</v>
      </c>
      <c r="AN45" s="95">
        <f t="shared" si="46"/>
        <v>0</v>
      </c>
      <c r="AO45" s="95">
        <f t="shared" si="46"/>
        <v>0</v>
      </c>
      <c r="AP45" s="95">
        <f t="shared" si="46"/>
        <v>0</v>
      </c>
      <c r="AQ45" s="95">
        <f t="shared" si="46"/>
        <v>0</v>
      </c>
      <c r="AR45" s="95">
        <f t="shared" si="46"/>
        <v>0</v>
      </c>
      <c r="AS45" s="95">
        <f>AS46</f>
        <v>195000</v>
      </c>
      <c r="AT45" s="95">
        <f t="shared" si="46"/>
        <v>195000</v>
      </c>
      <c r="AU45" s="95">
        <f t="shared" si="46"/>
        <v>0</v>
      </c>
      <c r="AV45" s="95"/>
      <c r="AW45" s="95"/>
      <c r="AX45" s="95"/>
      <c r="AY45" s="95">
        <f t="shared" si="47"/>
        <v>0</v>
      </c>
      <c r="AZ45" s="95">
        <f t="shared" si="47"/>
        <v>0</v>
      </c>
      <c r="BA45" s="95"/>
      <c r="BB45" s="95">
        <f t="shared" si="47"/>
        <v>0</v>
      </c>
      <c r="BC45" s="97"/>
      <c r="BD45" s="97"/>
      <c r="BE45" s="95"/>
      <c r="BF45" s="95"/>
      <c r="BG45" s="97"/>
      <c r="BH45" s="98"/>
    </row>
    <row r="46" spans="1:60" s="170" customFormat="1" ht="18" customHeight="1" thickBot="1" x14ac:dyDescent="0.25">
      <c r="A46" s="23"/>
      <c r="B46" s="19" t="s">
        <v>116</v>
      </c>
      <c r="C46" s="93" t="s">
        <v>117</v>
      </c>
      <c r="D46" s="99">
        <f>F46+G46+H46+N46+P46+Q46+R46+AE46+AS46+BB46+BF46</f>
        <v>195000</v>
      </c>
      <c r="E46" s="99">
        <f>F46+G46+H46+O46+N46+P46+Q46+S46+AE46+AS46+BB46+BE46+BG46+BH46</f>
        <v>195000</v>
      </c>
      <c r="F46" s="104"/>
      <c r="G46" s="101"/>
      <c r="H46" s="101">
        <f>SUM(I46:M46)</f>
        <v>0</v>
      </c>
      <c r="I46" s="100"/>
      <c r="J46" s="100"/>
      <c r="K46" s="100"/>
      <c r="L46" s="100"/>
      <c r="M46" s="100"/>
      <c r="N46" s="101"/>
      <c r="O46" s="101"/>
      <c r="P46" s="101"/>
      <c r="Q46" s="101"/>
      <c r="R46" s="101">
        <f>T46+U46+W46+Y46+AA46+AB46+AC46</f>
        <v>0</v>
      </c>
      <c r="S46" s="101">
        <f t="shared" ref="S46" si="48">T46+V46+X46+Z46+AA46+AB46+AD46</f>
        <v>0</v>
      </c>
      <c r="T46" s="100"/>
      <c r="U46" s="102"/>
      <c r="V46" s="102"/>
      <c r="W46" s="100"/>
      <c r="X46" s="100"/>
      <c r="Y46" s="100"/>
      <c r="Z46" s="100"/>
      <c r="AA46" s="100"/>
      <c r="AB46" s="100"/>
      <c r="AC46" s="100"/>
      <c r="AD46" s="100"/>
      <c r="AE46" s="101">
        <f>SUM(AF46:AR46)</f>
        <v>0</v>
      </c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1">
        <f>SUM(AT46:AZ46)</f>
        <v>195000</v>
      </c>
      <c r="AT46" s="100">
        <v>195000</v>
      </c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3"/>
    </row>
    <row r="47" spans="1:60" s="3" customFormat="1" ht="16.5" hidden="1" thickBot="1" x14ac:dyDescent="0.25">
      <c r="A47" s="45"/>
      <c r="B47" s="46"/>
      <c r="C47" s="204"/>
      <c r="D47" s="108">
        <f>F47+G47+H47+N47+P47+Q47+R47+AE47+AS47+BB47</f>
        <v>0</v>
      </c>
      <c r="E47" s="108">
        <f>G47+H47+I47+O47+Q47+R47+S47+AF47+AT47+BC47</f>
        <v>0</v>
      </c>
      <c r="F47" s="223"/>
      <c r="G47" s="110"/>
      <c r="H47" s="110"/>
      <c r="I47" s="127"/>
      <c r="J47" s="127"/>
      <c r="K47" s="110"/>
      <c r="L47" s="110"/>
      <c r="M47" s="110"/>
      <c r="N47" s="110"/>
      <c r="O47" s="110"/>
      <c r="P47" s="110"/>
      <c r="Q47" s="110"/>
      <c r="R47" s="110">
        <f>T47+U47+W47+Y47+AA47+AB47+AC47</f>
        <v>0</v>
      </c>
      <c r="S47" s="101">
        <f>V47+X47+Z47+AA47+AB47+AD47</f>
        <v>0</v>
      </c>
      <c r="T47" s="110"/>
      <c r="U47" s="111"/>
      <c r="V47" s="111"/>
      <c r="W47" s="110"/>
      <c r="X47" s="110"/>
      <c r="Y47" s="110"/>
      <c r="Z47" s="110"/>
      <c r="AA47" s="110"/>
      <c r="AB47" s="110"/>
      <c r="AC47" s="110"/>
      <c r="AD47" s="110"/>
      <c r="AE47" s="110">
        <f>AF47+AG47+AI47+AJ47+AK47+AL47+AM47+AN47+AP47+AR47</f>
        <v>0</v>
      </c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2"/>
      <c r="BD47" s="112"/>
      <c r="BE47" s="110"/>
      <c r="BF47" s="110"/>
      <c r="BG47" s="112"/>
      <c r="BH47" s="113"/>
    </row>
    <row r="48" spans="1:60" s="3" customFormat="1" ht="16.5" thickBot="1" x14ac:dyDescent="0.25">
      <c r="A48" s="28" t="s">
        <v>19</v>
      </c>
      <c r="B48" s="29" t="s">
        <v>90</v>
      </c>
      <c r="C48" s="114" t="s">
        <v>20</v>
      </c>
      <c r="D48" s="115">
        <f t="shared" ref="D48:AD48" si="49">D49+D54+D59</f>
        <v>6822349</v>
      </c>
      <c r="E48" s="115">
        <f t="shared" si="49"/>
        <v>5941625</v>
      </c>
      <c r="F48" s="116">
        <f t="shared" si="49"/>
        <v>0</v>
      </c>
      <c r="G48" s="117">
        <f t="shared" si="49"/>
        <v>0</v>
      </c>
      <c r="H48" s="117">
        <f t="shared" si="49"/>
        <v>0</v>
      </c>
      <c r="I48" s="117">
        <f t="shared" si="49"/>
        <v>0</v>
      </c>
      <c r="J48" s="117">
        <f t="shared" si="49"/>
        <v>0</v>
      </c>
      <c r="K48" s="117">
        <f t="shared" si="49"/>
        <v>0</v>
      </c>
      <c r="L48" s="117">
        <f t="shared" si="49"/>
        <v>0</v>
      </c>
      <c r="M48" s="117">
        <f t="shared" si="49"/>
        <v>0</v>
      </c>
      <c r="N48" s="117">
        <f t="shared" si="49"/>
        <v>0</v>
      </c>
      <c r="O48" s="117">
        <f t="shared" si="49"/>
        <v>0</v>
      </c>
      <c r="P48" s="117">
        <f t="shared" si="49"/>
        <v>0</v>
      </c>
      <c r="Q48" s="117">
        <f t="shared" si="49"/>
        <v>0</v>
      </c>
      <c r="R48" s="117">
        <f t="shared" si="49"/>
        <v>0</v>
      </c>
      <c r="S48" s="117">
        <f t="shared" si="49"/>
        <v>0</v>
      </c>
      <c r="T48" s="117">
        <f t="shared" si="49"/>
        <v>0</v>
      </c>
      <c r="U48" s="117">
        <f t="shared" si="49"/>
        <v>0</v>
      </c>
      <c r="V48" s="117">
        <f t="shared" si="49"/>
        <v>0</v>
      </c>
      <c r="W48" s="117">
        <f t="shared" si="49"/>
        <v>0</v>
      </c>
      <c r="X48" s="117">
        <f t="shared" si="49"/>
        <v>0</v>
      </c>
      <c r="Y48" s="117">
        <f t="shared" si="49"/>
        <v>0</v>
      </c>
      <c r="Z48" s="117">
        <f t="shared" si="49"/>
        <v>0</v>
      </c>
      <c r="AA48" s="117">
        <f t="shared" si="49"/>
        <v>0</v>
      </c>
      <c r="AB48" s="117">
        <f t="shared" si="49"/>
        <v>0</v>
      </c>
      <c r="AC48" s="117">
        <f t="shared" si="49"/>
        <v>0</v>
      </c>
      <c r="AD48" s="117">
        <f t="shared" si="49"/>
        <v>0</v>
      </c>
      <c r="AE48" s="117">
        <f>AF48+AG48+AI48+AJ48+AK48+AL48+AM48+AN48+AP48+AR48</f>
        <v>0</v>
      </c>
      <c r="AF48" s="117">
        <f t="shared" ref="AF48:AZ48" si="50">AF49+AF54+AF59</f>
        <v>0</v>
      </c>
      <c r="AG48" s="117">
        <f t="shared" si="50"/>
        <v>0</v>
      </c>
      <c r="AH48" s="117">
        <f t="shared" si="50"/>
        <v>0</v>
      </c>
      <c r="AI48" s="117">
        <f t="shared" si="50"/>
        <v>0</v>
      </c>
      <c r="AJ48" s="117">
        <f t="shared" si="50"/>
        <v>0</v>
      </c>
      <c r="AK48" s="117">
        <f t="shared" si="50"/>
        <v>0</v>
      </c>
      <c r="AL48" s="117">
        <f t="shared" si="50"/>
        <v>0</v>
      </c>
      <c r="AM48" s="117">
        <f t="shared" si="50"/>
        <v>0</v>
      </c>
      <c r="AN48" s="117">
        <f t="shared" si="50"/>
        <v>0</v>
      </c>
      <c r="AO48" s="117">
        <f t="shared" si="50"/>
        <v>0</v>
      </c>
      <c r="AP48" s="117">
        <f t="shared" si="50"/>
        <v>0</v>
      </c>
      <c r="AQ48" s="117">
        <f t="shared" ref="AQ48" si="51">AQ49+AQ54+AQ59</f>
        <v>0</v>
      </c>
      <c r="AR48" s="117">
        <f t="shared" si="50"/>
        <v>0</v>
      </c>
      <c r="AS48" s="117">
        <f t="shared" si="50"/>
        <v>5941625</v>
      </c>
      <c r="AT48" s="117">
        <f t="shared" si="50"/>
        <v>0</v>
      </c>
      <c r="AU48" s="117">
        <f t="shared" si="50"/>
        <v>5941625</v>
      </c>
      <c r="AV48" s="117">
        <f t="shared" si="50"/>
        <v>0</v>
      </c>
      <c r="AW48" s="117">
        <f t="shared" si="50"/>
        <v>0</v>
      </c>
      <c r="AX48" s="117">
        <f t="shared" si="50"/>
        <v>0</v>
      </c>
      <c r="AY48" s="117">
        <f t="shared" si="50"/>
        <v>0</v>
      </c>
      <c r="AZ48" s="117">
        <f t="shared" si="50"/>
        <v>0</v>
      </c>
      <c r="BA48" s="117"/>
      <c r="BB48" s="117">
        <f>BB49+BB54+BB59</f>
        <v>0</v>
      </c>
      <c r="BC48" s="119"/>
      <c r="BD48" s="119"/>
      <c r="BE48" s="117">
        <f>BE49+BE54+BE59</f>
        <v>880724</v>
      </c>
      <c r="BF48" s="117">
        <f>BF49+BF54+BF59</f>
        <v>0</v>
      </c>
      <c r="BG48" s="117">
        <f>BG49+BG54+BG59</f>
        <v>0</v>
      </c>
      <c r="BH48" s="120">
        <f>BH49+BH54+BH59</f>
        <v>0</v>
      </c>
    </row>
    <row r="49" spans="1:62" s="170" customFormat="1" ht="15.75" x14ac:dyDescent="0.2">
      <c r="A49" s="18" t="s">
        <v>118</v>
      </c>
      <c r="B49" s="19" t="s">
        <v>90</v>
      </c>
      <c r="C49" s="93" t="s">
        <v>21</v>
      </c>
      <c r="D49" s="94">
        <f>SUM(D50:D52)</f>
        <v>880724</v>
      </c>
      <c r="E49" s="94">
        <f>SUM(E50:E51)</f>
        <v>0</v>
      </c>
      <c r="F49" s="219">
        <f>SUM(F50:F50)</f>
        <v>0</v>
      </c>
      <c r="G49" s="95">
        <f>SUM(G50:G50)</f>
        <v>0</v>
      </c>
      <c r="H49" s="95"/>
      <c r="I49" s="95">
        <f t="shared" ref="I49:S49" si="52">SUM(I50:I50)</f>
        <v>0</v>
      </c>
      <c r="J49" s="95">
        <f t="shared" si="52"/>
        <v>0</v>
      </c>
      <c r="K49" s="95">
        <f t="shared" si="52"/>
        <v>0</v>
      </c>
      <c r="L49" s="95">
        <f t="shared" si="52"/>
        <v>0</v>
      </c>
      <c r="M49" s="95">
        <f t="shared" si="52"/>
        <v>0</v>
      </c>
      <c r="N49" s="95">
        <f t="shared" si="52"/>
        <v>0</v>
      </c>
      <c r="O49" s="95">
        <f t="shared" si="52"/>
        <v>0</v>
      </c>
      <c r="P49" s="95">
        <f t="shared" si="52"/>
        <v>0</v>
      </c>
      <c r="Q49" s="95">
        <f t="shared" si="52"/>
        <v>0</v>
      </c>
      <c r="R49" s="95">
        <f t="shared" si="52"/>
        <v>0</v>
      </c>
      <c r="S49" s="95">
        <f t="shared" si="52"/>
        <v>0</v>
      </c>
      <c r="T49" s="95"/>
      <c r="U49" s="96"/>
      <c r="V49" s="96"/>
      <c r="W49" s="95"/>
      <c r="X49" s="95"/>
      <c r="Y49" s="95"/>
      <c r="Z49" s="95"/>
      <c r="AA49" s="95"/>
      <c r="AB49" s="95"/>
      <c r="AC49" s="95"/>
      <c r="AD49" s="95"/>
      <c r="AE49" s="95">
        <f>AF49+AG49+AI49+AJ49+AK49+AL49+AM49+AN49+AP49+AR49</f>
        <v>0</v>
      </c>
      <c r="AF49" s="95">
        <f t="shared" ref="AF49:AQ49" si="53">SUM(AF50:AF50)</f>
        <v>0</v>
      </c>
      <c r="AG49" s="95">
        <f t="shared" si="53"/>
        <v>0</v>
      </c>
      <c r="AH49" s="95">
        <f t="shared" si="53"/>
        <v>0</v>
      </c>
      <c r="AI49" s="95">
        <f t="shared" si="53"/>
        <v>0</v>
      </c>
      <c r="AJ49" s="95">
        <f t="shared" si="53"/>
        <v>0</v>
      </c>
      <c r="AK49" s="95">
        <f t="shared" si="53"/>
        <v>0</v>
      </c>
      <c r="AL49" s="95">
        <f t="shared" si="53"/>
        <v>0</v>
      </c>
      <c r="AM49" s="95">
        <f t="shared" si="53"/>
        <v>0</v>
      </c>
      <c r="AN49" s="95">
        <f t="shared" si="53"/>
        <v>0</v>
      </c>
      <c r="AO49" s="95">
        <f t="shared" si="53"/>
        <v>0</v>
      </c>
      <c r="AP49" s="95">
        <f t="shared" si="53"/>
        <v>0</v>
      </c>
      <c r="AQ49" s="95">
        <f t="shared" si="53"/>
        <v>0</v>
      </c>
      <c r="AR49" s="95">
        <f>SUM(AR50:AR51)</f>
        <v>0</v>
      </c>
      <c r="AS49" s="95">
        <f>AS52+AS50</f>
        <v>0</v>
      </c>
      <c r="AT49" s="95">
        <f t="shared" ref="AT49:AZ49" si="54">SUM(AT50:AT50)</f>
        <v>0</v>
      </c>
      <c r="AU49" s="95">
        <f t="shared" si="54"/>
        <v>0</v>
      </c>
      <c r="AV49" s="95">
        <f t="shared" si="54"/>
        <v>0</v>
      </c>
      <c r="AW49" s="95">
        <f t="shared" si="54"/>
        <v>0</v>
      </c>
      <c r="AX49" s="95">
        <f t="shared" si="54"/>
        <v>0</v>
      </c>
      <c r="AY49" s="95">
        <f t="shared" si="54"/>
        <v>0</v>
      </c>
      <c r="AZ49" s="95">
        <f t="shared" si="54"/>
        <v>0</v>
      </c>
      <c r="BA49" s="95"/>
      <c r="BB49" s="95">
        <f>SUM(BB50:BB50)</f>
        <v>0</v>
      </c>
      <c r="BC49" s="97"/>
      <c r="BD49" s="97"/>
      <c r="BE49" s="95">
        <f>SUM(BE50:BE52)</f>
        <v>880724</v>
      </c>
      <c r="BF49" s="95">
        <f>BF52+BF50</f>
        <v>0</v>
      </c>
      <c r="BG49" s="97"/>
      <c r="BH49" s="98">
        <f>SUM(BH50:BH50)</f>
        <v>0</v>
      </c>
    </row>
    <row r="50" spans="1:62" s="170" customFormat="1" ht="15.75" hidden="1" customHeight="1" x14ac:dyDescent="0.2">
      <c r="A50" s="23"/>
      <c r="B50" s="19" t="s">
        <v>120</v>
      </c>
      <c r="C50" s="93" t="s">
        <v>217</v>
      </c>
      <c r="D50" s="99">
        <f>F50+G50+H50+N50+P50+Q50+R50+AE50+AS50+BB50+BF50+BE50</f>
        <v>0</v>
      </c>
      <c r="E50" s="99">
        <f>F50+G50+H50+O50+N50+P50+Q50+S50+AE50+AS50+BB50+BE50+BG50+BH50</f>
        <v>0</v>
      </c>
      <c r="F50" s="104"/>
      <c r="G50" s="101"/>
      <c r="H50" s="101">
        <f>SUM(I50:M50)</f>
        <v>0</v>
      </c>
      <c r="I50" s="100"/>
      <c r="J50" s="100"/>
      <c r="K50" s="100"/>
      <c r="L50" s="100"/>
      <c r="M50" s="100"/>
      <c r="N50" s="101"/>
      <c r="O50" s="101"/>
      <c r="P50" s="101"/>
      <c r="Q50" s="101"/>
      <c r="R50" s="101">
        <f>T50+U50+W50+Y50+AA50+AB50+AC50</f>
        <v>0</v>
      </c>
      <c r="S50" s="101">
        <f t="shared" ref="S50" si="55">T50+V50+X50+Z50+AA50+AB50+AD50</f>
        <v>0</v>
      </c>
      <c r="T50" s="100"/>
      <c r="U50" s="102"/>
      <c r="V50" s="102"/>
      <c r="W50" s="100"/>
      <c r="X50" s="100"/>
      <c r="Y50" s="100"/>
      <c r="Z50" s="100"/>
      <c r="AA50" s="100"/>
      <c r="AB50" s="100"/>
      <c r="AC50" s="100"/>
      <c r="AD50" s="100"/>
      <c r="AE50" s="101">
        <f>SUM(AF50:AR50)</f>
        <v>0</v>
      </c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1">
        <f>SUM(AT50:AZ50)</f>
        <v>0</v>
      </c>
      <c r="AT50" s="100"/>
      <c r="AU50" s="100">
        <f>AU51+AU53</f>
        <v>0</v>
      </c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3"/>
    </row>
    <row r="51" spans="1:62" s="170" customFormat="1" ht="15.75" hidden="1" customHeight="1" x14ac:dyDescent="0.2">
      <c r="A51" s="23"/>
      <c r="B51" s="22" t="s">
        <v>119</v>
      </c>
      <c r="C51" s="107" t="s">
        <v>240</v>
      </c>
      <c r="D51" s="99">
        <f>F51+G51+H51+N51+P51+Q51+R51+AE51+AS51+BB51+BF51+BE51</f>
        <v>0</v>
      </c>
      <c r="E51" s="99">
        <f>F51+G51+H51+O51+N51+P51+Q51+S51+AE51+AS51+BB51+BE51+BG51+BH51</f>
        <v>0</v>
      </c>
      <c r="F51" s="104"/>
      <c r="G51" s="101"/>
      <c r="H51" s="101"/>
      <c r="I51" s="100"/>
      <c r="J51" s="100"/>
      <c r="K51" s="100"/>
      <c r="L51" s="100"/>
      <c r="M51" s="100"/>
      <c r="N51" s="101"/>
      <c r="O51" s="101"/>
      <c r="P51" s="101"/>
      <c r="Q51" s="101"/>
      <c r="R51" s="101"/>
      <c r="S51" s="101">
        <f>T51+V51+X51+Z51+AA51+AB51+AD51</f>
        <v>0</v>
      </c>
      <c r="T51" s="100"/>
      <c r="U51" s="102"/>
      <c r="V51" s="102"/>
      <c r="W51" s="100"/>
      <c r="X51" s="100"/>
      <c r="Y51" s="100"/>
      <c r="Z51" s="100"/>
      <c r="AA51" s="100"/>
      <c r="AB51" s="100"/>
      <c r="AC51" s="100"/>
      <c r="AD51" s="100"/>
      <c r="AE51" s="101">
        <f>SUM(AF51:AR51)</f>
        <v>0</v>
      </c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1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3"/>
      <c r="BJ51" s="173">
        <f>BE52+AU58+AU79</f>
        <v>4013254</v>
      </c>
    </row>
    <row r="52" spans="1:62" s="170" customFormat="1" ht="15.75" customHeight="1" x14ac:dyDescent="0.2">
      <c r="A52" s="18"/>
      <c r="B52" s="19" t="s">
        <v>119</v>
      </c>
      <c r="C52" s="245" t="s">
        <v>246</v>
      </c>
      <c r="D52" s="99">
        <f>F52+G52+H52+N52+P52+Q52+R52+AE52+AS52+BB52+BF52+BE52</f>
        <v>880724</v>
      </c>
      <c r="E52" s="99">
        <f>F52+G52+H52+O52+N52+P52+Q52+S52+AE52+AS52+BB52+BE52+BG52+BH52</f>
        <v>880724</v>
      </c>
      <c r="F52" s="104"/>
      <c r="G52" s="101"/>
      <c r="H52" s="101">
        <f>SUM(I52:M52)</f>
        <v>0</v>
      </c>
      <c r="I52" s="100"/>
      <c r="J52" s="100"/>
      <c r="K52" s="100"/>
      <c r="L52" s="100"/>
      <c r="M52" s="100"/>
      <c r="N52" s="101"/>
      <c r="O52" s="101"/>
      <c r="P52" s="101"/>
      <c r="Q52" s="101"/>
      <c r="R52" s="101">
        <f>T52+U52+W52+Y52+AA52+AB52+AC52</f>
        <v>0</v>
      </c>
      <c r="S52" s="101">
        <f>T52+V52+X52+Z52+AA52+AB52+AD52</f>
        <v>0</v>
      </c>
      <c r="T52" s="100"/>
      <c r="U52" s="102"/>
      <c r="V52" s="102"/>
      <c r="W52" s="100"/>
      <c r="X52" s="100"/>
      <c r="Y52" s="100"/>
      <c r="Z52" s="100"/>
      <c r="AA52" s="100"/>
      <c r="AB52" s="100"/>
      <c r="AC52" s="100"/>
      <c r="AD52" s="100"/>
      <c r="AE52" s="101">
        <f>SUM(AF52:AR52)</f>
        <v>0</v>
      </c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1">
        <f>SUM(AT52:AZ52)</f>
        <v>0</v>
      </c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247">
        <f>2210421+880723-2210420</f>
        <v>880724</v>
      </c>
      <c r="BF52" s="100"/>
      <c r="BG52" s="100"/>
      <c r="BH52" s="103"/>
    </row>
    <row r="53" spans="1:62" s="170" customFormat="1" ht="15.75" hidden="1" customHeight="1" x14ac:dyDescent="0.2">
      <c r="A53" s="23"/>
      <c r="B53" s="19"/>
      <c r="C53" s="93" t="s">
        <v>216</v>
      </c>
      <c r="D53" s="128"/>
      <c r="E53" s="128"/>
      <c r="F53" s="104"/>
      <c r="G53" s="101"/>
      <c r="H53" s="101"/>
      <c r="I53" s="100"/>
      <c r="J53" s="100"/>
      <c r="K53" s="100"/>
      <c r="L53" s="100"/>
      <c r="M53" s="100"/>
      <c r="N53" s="101"/>
      <c r="O53" s="101"/>
      <c r="P53" s="101"/>
      <c r="Q53" s="101"/>
      <c r="R53" s="101"/>
      <c r="S53" s="101"/>
      <c r="T53" s="100"/>
      <c r="U53" s="102"/>
      <c r="V53" s="102"/>
      <c r="W53" s="100"/>
      <c r="X53" s="100"/>
      <c r="Y53" s="100"/>
      <c r="Z53" s="100"/>
      <c r="AA53" s="100"/>
      <c r="AB53" s="100"/>
      <c r="AC53" s="100"/>
      <c r="AD53" s="100"/>
      <c r="AE53" s="101"/>
      <c r="AF53" s="100"/>
      <c r="AG53" s="100"/>
      <c r="AH53" s="100"/>
      <c r="AI53" s="100"/>
      <c r="AJ53" s="100"/>
      <c r="AK53" s="100"/>
      <c r="AL53" s="100"/>
      <c r="AM53" s="100"/>
      <c r="AN53" s="100"/>
      <c r="AO53" s="100"/>
      <c r="AP53" s="100"/>
      <c r="AQ53" s="100"/>
      <c r="AR53" s="100"/>
      <c r="AS53" s="101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0"/>
      <c r="BE53" s="100"/>
      <c r="BF53" s="100"/>
      <c r="BG53" s="100"/>
      <c r="BH53" s="103"/>
    </row>
    <row r="54" spans="1:62" s="170" customFormat="1" ht="18" customHeight="1" x14ac:dyDescent="0.2">
      <c r="A54" s="18" t="s">
        <v>121</v>
      </c>
      <c r="B54" s="19" t="s">
        <v>90</v>
      </c>
      <c r="C54" s="93" t="s">
        <v>22</v>
      </c>
      <c r="D54" s="128">
        <f>SUM(D55:D58)</f>
        <v>5709537</v>
      </c>
      <c r="E54" s="128">
        <f>SUM(E55:E58)</f>
        <v>5709537</v>
      </c>
      <c r="F54" s="104">
        <f t="shared" ref="F54:G54" si="56">F55</f>
        <v>0</v>
      </c>
      <c r="G54" s="101">
        <f t="shared" si="56"/>
        <v>0</v>
      </c>
      <c r="H54" s="101">
        <f t="shared" ref="H54:P54" si="57">H55</f>
        <v>0</v>
      </c>
      <c r="I54" s="101">
        <f t="shared" si="57"/>
        <v>0</v>
      </c>
      <c r="J54" s="101">
        <f t="shared" si="57"/>
        <v>0</v>
      </c>
      <c r="K54" s="101">
        <f t="shared" si="57"/>
        <v>0</v>
      </c>
      <c r="L54" s="101">
        <f t="shared" si="57"/>
        <v>0</v>
      </c>
      <c r="M54" s="101">
        <f t="shared" si="57"/>
        <v>0</v>
      </c>
      <c r="N54" s="101">
        <f t="shared" si="57"/>
        <v>0</v>
      </c>
      <c r="O54" s="101">
        <f t="shared" si="57"/>
        <v>0</v>
      </c>
      <c r="P54" s="101">
        <f t="shared" si="57"/>
        <v>0</v>
      </c>
      <c r="Q54" s="101">
        <f>Q55</f>
        <v>0</v>
      </c>
      <c r="R54" s="101">
        <f>SUM(R55:R58)</f>
        <v>0</v>
      </c>
      <c r="S54" s="101">
        <f>SUM(S55:S58)</f>
        <v>0</v>
      </c>
      <c r="T54" s="101">
        <f t="shared" ref="T54:AD54" si="58">T55</f>
        <v>0</v>
      </c>
      <c r="U54" s="101">
        <f t="shared" si="58"/>
        <v>0</v>
      </c>
      <c r="V54" s="101">
        <f t="shared" si="58"/>
        <v>0</v>
      </c>
      <c r="W54" s="101">
        <f t="shared" si="58"/>
        <v>0</v>
      </c>
      <c r="X54" s="101">
        <f t="shared" si="58"/>
        <v>0</v>
      </c>
      <c r="Y54" s="101">
        <f t="shared" si="58"/>
        <v>0</v>
      </c>
      <c r="Z54" s="101">
        <f t="shared" si="58"/>
        <v>0</v>
      </c>
      <c r="AA54" s="101">
        <f t="shared" si="58"/>
        <v>0</v>
      </c>
      <c r="AB54" s="101">
        <f t="shared" si="58"/>
        <v>0</v>
      </c>
      <c r="AC54" s="101">
        <f t="shared" si="58"/>
        <v>0</v>
      </c>
      <c r="AD54" s="101">
        <f t="shared" si="58"/>
        <v>0</v>
      </c>
      <c r="AE54" s="101">
        <f>AF54+AG54+AI54+AJ54+AK54+AL54+AM54+AN54+AP54+AR54</f>
        <v>0</v>
      </c>
      <c r="AF54" s="101">
        <f t="shared" ref="AF54:BF54" si="59">AF55</f>
        <v>0</v>
      </c>
      <c r="AG54" s="101">
        <f t="shared" si="59"/>
        <v>0</v>
      </c>
      <c r="AH54" s="101">
        <f t="shared" si="59"/>
        <v>0</v>
      </c>
      <c r="AI54" s="101">
        <f t="shared" si="59"/>
        <v>0</v>
      </c>
      <c r="AJ54" s="101">
        <f t="shared" si="59"/>
        <v>0</v>
      </c>
      <c r="AK54" s="101">
        <f t="shared" si="59"/>
        <v>0</v>
      </c>
      <c r="AL54" s="101">
        <f t="shared" si="59"/>
        <v>0</v>
      </c>
      <c r="AM54" s="101">
        <f t="shared" si="59"/>
        <v>0</v>
      </c>
      <c r="AN54" s="101">
        <f t="shared" si="59"/>
        <v>0</v>
      </c>
      <c r="AO54" s="101">
        <f t="shared" si="59"/>
        <v>0</v>
      </c>
      <c r="AP54" s="101">
        <f t="shared" si="59"/>
        <v>0</v>
      </c>
      <c r="AQ54" s="101">
        <f t="shared" si="59"/>
        <v>0</v>
      </c>
      <c r="AR54" s="101">
        <f>AR55+AR57+AR58</f>
        <v>0</v>
      </c>
      <c r="AS54" s="101">
        <f t="shared" ref="AS54:AT54" si="60">SUM(AS55:AS58)</f>
        <v>5709537</v>
      </c>
      <c r="AT54" s="101">
        <f t="shared" si="60"/>
        <v>0</v>
      </c>
      <c r="AU54" s="101">
        <f>SUM(AU55:AU58)</f>
        <v>5709537</v>
      </c>
      <c r="AV54" s="101">
        <f t="shared" si="59"/>
        <v>0</v>
      </c>
      <c r="AW54" s="101">
        <f>AW55</f>
        <v>0</v>
      </c>
      <c r="AX54" s="101">
        <f t="shared" si="59"/>
        <v>0</v>
      </c>
      <c r="AY54" s="101">
        <f t="shared" si="59"/>
        <v>0</v>
      </c>
      <c r="AZ54" s="101">
        <f t="shared" si="59"/>
        <v>0</v>
      </c>
      <c r="BA54" s="101"/>
      <c r="BB54" s="101">
        <f t="shared" si="59"/>
        <v>0</v>
      </c>
      <c r="BC54" s="100"/>
      <c r="BD54" s="100"/>
      <c r="BE54" s="101">
        <f>SUM(BE55:BE58)</f>
        <v>0</v>
      </c>
      <c r="BF54" s="101">
        <f t="shared" si="59"/>
        <v>0</v>
      </c>
      <c r="BG54" s="100"/>
      <c r="BH54" s="106">
        <f>BH55</f>
        <v>0</v>
      </c>
    </row>
    <row r="55" spans="1:62" s="170" customFormat="1" ht="15.75" hidden="1" customHeight="1" x14ac:dyDescent="0.2">
      <c r="A55" s="23"/>
      <c r="B55" s="19" t="s">
        <v>122</v>
      </c>
      <c r="C55" s="93" t="s">
        <v>241</v>
      </c>
      <c r="D55" s="99">
        <f>F55+G55+H55+N55+P55+Q55+R55+AE55+AS55+BB55+BF55+BE55</f>
        <v>0</v>
      </c>
      <c r="E55" s="99">
        <f>F55+G55+H55+O55+N55+P55+Q55+S55+AE55+AS55+BB55+BE55+BG55+BH55</f>
        <v>0</v>
      </c>
      <c r="F55" s="104"/>
      <c r="G55" s="101"/>
      <c r="H55" s="101">
        <f>SUM(I55:M55)</f>
        <v>0</v>
      </c>
      <c r="I55" s="100"/>
      <c r="J55" s="100"/>
      <c r="K55" s="100"/>
      <c r="L55" s="100"/>
      <c r="M55" s="100"/>
      <c r="N55" s="101"/>
      <c r="O55" s="101"/>
      <c r="P55" s="101"/>
      <c r="Q55" s="101"/>
      <c r="R55" s="101">
        <f>T55+U55+W55+Y55+AA55+AB55+AC55</f>
        <v>0</v>
      </c>
      <c r="S55" s="101">
        <f t="shared" ref="S55:S58" si="61">T55+V55+X55+Z55+AA55+AB55+AD55</f>
        <v>0</v>
      </c>
      <c r="T55" s="100"/>
      <c r="U55" s="102"/>
      <c r="V55" s="102"/>
      <c r="W55" s="100"/>
      <c r="X55" s="100"/>
      <c r="Y55" s="100"/>
      <c r="Z55" s="100"/>
      <c r="AA55" s="100"/>
      <c r="AB55" s="100"/>
      <c r="AC55" s="100"/>
      <c r="AD55" s="100"/>
      <c r="AE55" s="101">
        <f>SUM(AF55:AR55)</f>
        <v>0</v>
      </c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1">
        <f>SUM(AT55:AZ55)</f>
        <v>0</v>
      </c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3"/>
    </row>
    <row r="56" spans="1:62" s="170" customFormat="1" ht="15.75" customHeight="1" x14ac:dyDescent="0.2">
      <c r="A56" s="23"/>
      <c r="B56" s="19" t="s">
        <v>122</v>
      </c>
      <c r="C56" s="245" t="s">
        <v>309</v>
      </c>
      <c r="D56" s="99">
        <f>F56+G56+H56+N56+P56+Q56+R56+AE56+AS56+BB56+BF56+BE56</f>
        <v>2809095</v>
      </c>
      <c r="E56" s="99">
        <f>F56+G56+H56+O56+N56+P56+Q56+S56+AE56+AS56+BB56+BE56+BG56+BH56</f>
        <v>2809095</v>
      </c>
      <c r="F56" s="104"/>
      <c r="G56" s="101"/>
      <c r="H56" s="101"/>
      <c r="I56" s="100"/>
      <c r="J56" s="100"/>
      <c r="K56" s="100"/>
      <c r="L56" s="100"/>
      <c r="M56" s="100"/>
      <c r="N56" s="101"/>
      <c r="O56" s="101"/>
      <c r="P56" s="101"/>
      <c r="Q56" s="101"/>
      <c r="R56" s="101"/>
      <c r="S56" s="101">
        <f t="shared" ref="S56" si="62">T56+V56+X56+Z56+AA56+AB56+AD56</f>
        <v>0</v>
      </c>
      <c r="T56" s="100"/>
      <c r="U56" s="102"/>
      <c r="V56" s="102"/>
      <c r="W56" s="100"/>
      <c r="X56" s="100"/>
      <c r="Y56" s="100"/>
      <c r="Z56" s="100"/>
      <c r="AA56" s="100"/>
      <c r="AB56" s="100"/>
      <c r="AC56" s="100"/>
      <c r="AD56" s="100"/>
      <c r="AE56" s="101">
        <f>SUM(AF56:AR56)</f>
        <v>0</v>
      </c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1">
        <f>SUM(AT56:AZ56)</f>
        <v>2809095</v>
      </c>
      <c r="AT56" s="100"/>
      <c r="AU56" s="247">
        <f>2259095+550000</f>
        <v>2809095</v>
      </c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3"/>
    </row>
    <row r="57" spans="1:62" s="170" customFormat="1" ht="15.75" hidden="1" customHeight="1" x14ac:dyDescent="0.2">
      <c r="A57" s="23"/>
      <c r="B57" s="19" t="s">
        <v>122</v>
      </c>
      <c r="C57" s="93" t="s">
        <v>294</v>
      </c>
      <c r="D57" s="99">
        <f>F57+G57+H57+N57+P57+Q57+R57+AE57+AS57+BB57+BF57+BE57</f>
        <v>0</v>
      </c>
      <c r="E57" s="99">
        <f>F57+G57+H57+O57+N57+P57+Q57+S57+AE57+AS57+BB57+BE57+BG57+BH57</f>
        <v>0</v>
      </c>
      <c r="F57" s="104"/>
      <c r="G57" s="101"/>
      <c r="H57" s="101"/>
      <c r="I57" s="100"/>
      <c r="J57" s="100"/>
      <c r="K57" s="100"/>
      <c r="L57" s="100"/>
      <c r="M57" s="100"/>
      <c r="N57" s="101"/>
      <c r="O57" s="101"/>
      <c r="P57" s="101"/>
      <c r="Q57" s="101"/>
      <c r="R57" s="101"/>
      <c r="S57" s="101">
        <f t="shared" si="61"/>
        <v>0</v>
      </c>
      <c r="T57" s="100"/>
      <c r="U57" s="102"/>
      <c r="V57" s="102"/>
      <c r="W57" s="100"/>
      <c r="X57" s="100"/>
      <c r="Y57" s="100"/>
      <c r="Z57" s="100"/>
      <c r="AA57" s="100"/>
      <c r="AB57" s="100"/>
      <c r="AC57" s="100"/>
      <c r="AD57" s="100"/>
      <c r="AE57" s="101">
        <f>SUM(AF57:AR57)</f>
        <v>0</v>
      </c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1">
        <f>SUM(AT57:AZ57)</f>
        <v>0</v>
      </c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3"/>
    </row>
    <row r="58" spans="1:62" s="170" customFormat="1" ht="15.75" customHeight="1" x14ac:dyDescent="0.2">
      <c r="A58" s="23"/>
      <c r="B58" s="19" t="s">
        <v>122</v>
      </c>
      <c r="C58" s="245" t="s">
        <v>327</v>
      </c>
      <c r="D58" s="99">
        <f>F58+G58+H58+N58+P58+Q58+R58+AE58+AS58+BB58+BF58+BE58</f>
        <v>2900442</v>
      </c>
      <c r="E58" s="99">
        <f>F58+G58+H58+O58+N58+P58+Q58+S58+AE58+AS58+BB58+BE58+BG58+BH58</f>
        <v>2900442</v>
      </c>
      <c r="F58" s="104"/>
      <c r="G58" s="101"/>
      <c r="H58" s="101"/>
      <c r="I58" s="100"/>
      <c r="J58" s="100"/>
      <c r="K58" s="100"/>
      <c r="L58" s="100"/>
      <c r="M58" s="100"/>
      <c r="N58" s="101"/>
      <c r="O58" s="101"/>
      <c r="P58" s="101"/>
      <c r="Q58" s="101"/>
      <c r="R58" s="101"/>
      <c r="S58" s="101">
        <f t="shared" si="61"/>
        <v>0</v>
      </c>
      <c r="T58" s="100"/>
      <c r="U58" s="102"/>
      <c r="V58" s="102"/>
      <c r="W58" s="100"/>
      <c r="X58" s="100"/>
      <c r="Y58" s="100"/>
      <c r="Z58" s="100"/>
      <c r="AA58" s="100"/>
      <c r="AB58" s="100"/>
      <c r="AC58" s="100"/>
      <c r="AD58" s="100"/>
      <c r="AE58" s="101">
        <f>SUM(AF58:AR58)</f>
        <v>0</v>
      </c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1">
        <f>SUM(AT58:AZ58)</f>
        <v>2900442</v>
      </c>
      <c r="AT58" s="100"/>
      <c r="AU58" s="247">
        <f>915470+1984972</f>
        <v>2900442</v>
      </c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3"/>
    </row>
    <row r="59" spans="1:62" s="170" customFormat="1" ht="20.25" customHeight="1" x14ac:dyDescent="0.2">
      <c r="A59" s="18" t="s">
        <v>123</v>
      </c>
      <c r="B59" s="19" t="s">
        <v>90</v>
      </c>
      <c r="C59" s="93" t="s">
        <v>124</v>
      </c>
      <c r="D59" s="128">
        <f>SUM(D60:D68)+SUM(D70:D78)</f>
        <v>232088</v>
      </c>
      <c r="E59" s="128">
        <f>SUM(E60:E68)+SUM(E70:E78)</f>
        <v>232088</v>
      </c>
      <c r="F59" s="104">
        <f t="shared" ref="F59:G59" si="63">SUM(F60:F68)+SUM(F70:F78)</f>
        <v>0</v>
      </c>
      <c r="G59" s="101">
        <f t="shared" si="63"/>
        <v>0</v>
      </c>
      <c r="H59" s="101">
        <f t="shared" ref="H59:AU59" si="64">SUM(H60:H68)+SUM(H70:H78)</f>
        <v>0</v>
      </c>
      <c r="I59" s="101">
        <f t="shared" si="64"/>
        <v>0</v>
      </c>
      <c r="J59" s="101">
        <f t="shared" si="64"/>
        <v>0</v>
      </c>
      <c r="K59" s="101">
        <f t="shared" si="64"/>
        <v>0</v>
      </c>
      <c r="L59" s="101">
        <f t="shared" si="64"/>
        <v>0</v>
      </c>
      <c r="M59" s="101">
        <f t="shared" si="64"/>
        <v>0</v>
      </c>
      <c r="N59" s="101">
        <f t="shared" si="64"/>
        <v>0</v>
      </c>
      <c r="O59" s="101">
        <f>SUM(O60:O68)+SUM(O70:O78)</f>
        <v>0</v>
      </c>
      <c r="P59" s="101">
        <f t="shared" si="64"/>
        <v>0</v>
      </c>
      <c r="Q59" s="101">
        <f t="shared" si="64"/>
        <v>0</v>
      </c>
      <c r="R59" s="101">
        <f t="shared" si="64"/>
        <v>0</v>
      </c>
      <c r="S59" s="101">
        <f t="shared" ref="S59" si="65">SUM(S60:S68)+SUM(S70:S78)</f>
        <v>0</v>
      </c>
      <c r="T59" s="101">
        <f t="shared" si="64"/>
        <v>0</v>
      </c>
      <c r="U59" s="101">
        <f t="shared" si="64"/>
        <v>0</v>
      </c>
      <c r="V59" s="101">
        <f t="shared" si="64"/>
        <v>0</v>
      </c>
      <c r="W59" s="101">
        <f t="shared" si="64"/>
        <v>0</v>
      </c>
      <c r="X59" s="101">
        <f t="shared" si="64"/>
        <v>0</v>
      </c>
      <c r="Y59" s="101">
        <f t="shared" si="64"/>
        <v>0</v>
      </c>
      <c r="Z59" s="101">
        <f t="shared" si="64"/>
        <v>0</v>
      </c>
      <c r="AA59" s="101">
        <f t="shared" si="64"/>
        <v>0</v>
      </c>
      <c r="AB59" s="101">
        <f t="shared" si="64"/>
        <v>0</v>
      </c>
      <c r="AC59" s="101">
        <f t="shared" si="64"/>
        <v>0</v>
      </c>
      <c r="AD59" s="101">
        <f t="shared" si="64"/>
        <v>0</v>
      </c>
      <c r="AE59" s="101">
        <f t="shared" si="64"/>
        <v>0</v>
      </c>
      <c r="AF59" s="101">
        <f t="shared" si="64"/>
        <v>0</v>
      </c>
      <c r="AG59" s="101">
        <f t="shared" si="64"/>
        <v>0</v>
      </c>
      <c r="AH59" s="101">
        <f t="shared" si="64"/>
        <v>0</v>
      </c>
      <c r="AI59" s="101">
        <f t="shared" si="64"/>
        <v>0</v>
      </c>
      <c r="AJ59" s="101">
        <f t="shared" si="64"/>
        <v>0</v>
      </c>
      <c r="AK59" s="101">
        <f t="shared" si="64"/>
        <v>0</v>
      </c>
      <c r="AL59" s="101">
        <f t="shared" si="64"/>
        <v>0</v>
      </c>
      <c r="AM59" s="101">
        <f t="shared" si="64"/>
        <v>0</v>
      </c>
      <c r="AN59" s="101">
        <f t="shared" si="64"/>
        <v>0</v>
      </c>
      <c r="AO59" s="101">
        <f>SUM(AO60:AO68)+SUM(AO70:AO78)</f>
        <v>0</v>
      </c>
      <c r="AP59" s="101">
        <f t="shared" si="64"/>
        <v>0</v>
      </c>
      <c r="AQ59" s="101">
        <f t="shared" ref="AQ59" si="66">SUM(AQ60:AQ68)+SUM(AQ70:AQ78)</f>
        <v>0</v>
      </c>
      <c r="AR59" s="101">
        <f t="shared" si="64"/>
        <v>0</v>
      </c>
      <c r="AS59" s="101">
        <f t="shared" si="64"/>
        <v>232088</v>
      </c>
      <c r="AT59" s="101">
        <f t="shared" si="64"/>
        <v>0</v>
      </c>
      <c r="AU59" s="101">
        <f t="shared" si="64"/>
        <v>232088</v>
      </c>
      <c r="AV59" s="101"/>
      <c r="AW59" s="101"/>
      <c r="AX59" s="101"/>
      <c r="AY59" s="101">
        <f t="shared" ref="AY59" si="67">SUM(AY60:AY68)</f>
        <v>0</v>
      </c>
      <c r="AZ59" s="101">
        <f t="shared" ref="AZ59:BF59" si="68">SUM(AZ60:AZ68)</f>
        <v>0</v>
      </c>
      <c r="BA59" s="101"/>
      <c r="BB59" s="101">
        <f t="shared" si="68"/>
        <v>0</v>
      </c>
      <c r="BC59" s="100"/>
      <c r="BD59" s="100"/>
      <c r="BE59" s="101">
        <f t="shared" si="68"/>
        <v>0</v>
      </c>
      <c r="BF59" s="101">
        <f t="shared" si="68"/>
        <v>0</v>
      </c>
      <c r="BG59" s="101"/>
      <c r="BH59" s="106">
        <f>SUM(BH60:BH68)</f>
        <v>0</v>
      </c>
    </row>
    <row r="60" spans="1:62" s="170" customFormat="1" ht="15.75" hidden="1" customHeight="1" x14ac:dyDescent="0.2">
      <c r="A60" s="23"/>
      <c r="B60" s="19" t="s">
        <v>125</v>
      </c>
      <c r="C60" s="93" t="s">
        <v>253</v>
      </c>
      <c r="D60" s="99">
        <f>F60+G60+H60+N60+P60+Q60+R60+AE60+AS60+BB60</f>
        <v>0</v>
      </c>
      <c r="E60" s="99">
        <f t="shared" ref="E60:E68" si="69">F60+G60+H60+O60+N60+P60+Q60+S60+AE60+AS60+BB60+BE60+BG60+BH60</f>
        <v>0</v>
      </c>
      <c r="F60" s="104"/>
      <c r="G60" s="101"/>
      <c r="H60" s="101">
        <f t="shared" ref="H60:H68" si="70">SUM(I60:M60)</f>
        <v>0</v>
      </c>
      <c r="I60" s="100"/>
      <c r="J60" s="100"/>
      <c r="K60" s="100"/>
      <c r="L60" s="100"/>
      <c r="M60" s="100"/>
      <c r="N60" s="101"/>
      <c r="O60" s="101"/>
      <c r="P60" s="101"/>
      <c r="Q60" s="101"/>
      <c r="R60" s="101">
        <f t="shared" ref="R60:R68" si="71">T60+U60+W60+Y60+AA60+AB60+AC60</f>
        <v>0</v>
      </c>
      <c r="S60" s="101">
        <f t="shared" ref="S60:S68" si="72">T60+V60+X60+Z60+AA60+AB60+AD60</f>
        <v>0</v>
      </c>
      <c r="T60" s="100"/>
      <c r="U60" s="102"/>
      <c r="V60" s="102"/>
      <c r="W60" s="100"/>
      <c r="X60" s="100"/>
      <c r="Y60" s="100"/>
      <c r="Z60" s="100"/>
      <c r="AA60" s="100"/>
      <c r="AB60" s="100"/>
      <c r="AC60" s="100"/>
      <c r="AD60" s="100"/>
      <c r="AE60" s="101">
        <f t="shared" ref="AE60:AE68" si="73">SUM(AF60:AR60)</f>
        <v>0</v>
      </c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1">
        <f t="shared" ref="AS60:AS68" si="74">SUM(AT60:AZ60)</f>
        <v>0</v>
      </c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3"/>
    </row>
    <row r="61" spans="1:62" s="170" customFormat="1" ht="15.75" hidden="1" customHeight="1" x14ac:dyDescent="0.2">
      <c r="A61" s="23"/>
      <c r="B61" s="19" t="s">
        <v>125</v>
      </c>
      <c r="C61" s="93" t="s">
        <v>270</v>
      </c>
      <c r="D61" s="99">
        <f>F61+G61+H61+N61+P61+Q61+R61+AE61+AS61+BB61</f>
        <v>0</v>
      </c>
      <c r="E61" s="99">
        <f t="shared" si="69"/>
        <v>0</v>
      </c>
      <c r="F61" s="104"/>
      <c r="G61" s="101"/>
      <c r="H61" s="101">
        <f t="shared" si="70"/>
        <v>0</v>
      </c>
      <c r="I61" s="100"/>
      <c r="J61" s="100"/>
      <c r="K61" s="100"/>
      <c r="L61" s="100"/>
      <c r="M61" s="100"/>
      <c r="N61" s="101"/>
      <c r="O61" s="101"/>
      <c r="P61" s="101"/>
      <c r="Q61" s="101"/>
      <c r="R61" s="101">
        <f t="shared" si="71"/>
        <v>0</v>
      </c>
      <c r="S61" s="101">
        <f t="shared" si="72"/>
        <v>0</v>
      </c>
      <c r="T61" s="100"/>
      <c r="U61" s="102"/>
      <c r="V61" s="102"/>
      <c r="W61" s="100"/>
      <c r="X61" s="100"/>
      <c r="Y61" s="100"/>
      <c r="Z61" s="100"/>
      <c r="AA61" s="100"/>
      <c r="AB61" s="100"/>
      <c r="AC61" s="100"/>
      <c r="AD61" s="100"/>
      <c r="AE61" s="101">
        <f t="shared" si="73"/>
        <v>0</v>
      </c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1">
        <f t="shared" si="74"/>
        <v>0</v>
      </c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3"/>
    </row>
    <row r="62" spans="1:62" s="170" customFormat="1" ht="15.75" hidden="1" customHeight="1" x14ac:dyDescent="0.2">
      <c r="A62" s="23"/>
      <c r="B62" s="19" t="s">
        <v>125</v>
      </c>
      <c r="C62" s="93" t="s">
        <v>254</v>
      </c>
      <c r="D62" s="99">
        <f>F62+G62+H62+N62+P62+Q62+R62+AE62+AS62+BB62</f>
        <v>0</v>
      </c>
      <c r="E62" s="99">
        <f t="shared" si="69"/>
        <v>0</v>
      </c>
      <c r="F62" s="104"/>
      <c r="G62" s="101"/>
      <c r="H62" s="101">
        <f t="shared" si="70"/>
        <v>0</v>
      </c>
      <c r="I62" s="100"/>
      <c r="J62" s="100"/>
      <c r="K62" s="100"/>
      <c r="L62" s="100"/>
      <c r="M62" s="100"/>
      <c r="N62" s="101"/>
      <c r="O62" s="101"/>
      <c r="P62" s="101"/>
      <c r="Q62" s="101"/>
      <c r="R62" s="101">
        <f t="shared" si="71"/>
        <v>0</v>
      </c>
      <c r="S62" s="101">
        <f t="shared" si="72"/>
        <v>0</v>
      </c>
      <c r="T62" s="100"/>
      <c r="U62" s="102"/>
      <c r="V62" s="102"/>
      <c r="W62" s="100"/>
      <c r="X62" s="100"/>
      <c r="Y62" s="100"/>
      <c r="Z62" s="100"/>
      <c r="AA62" s="100"/>
      <c r="AB62" s="100"/>
      <c r="AC62" s="100"/>
      <c r="AD62" s="100"/>
      <c r="AE62" s="101">
        <f t="shared" si="73"/>
        <v>0</v>
      </c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1">
        <f t="shared" si="74"/>
        <v>0</v>
      </c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3"/>
    </row>
    <row r="63" spans="1:62" s="170" customFormat="1" ht="15.75" hidden="1" customHeight="1" x14ac:dyDescent="0.2">
      <c r="A63" s="23"/>
      <c r="B63" s="19" t="s">
        <v>125</v>
      </c>
      <c r="C63" s="93" t="s">
        <v>255</v>
      </c>
      <c r="D63" s="99">
        <f>F63+G63+H63+N63+P63+Q63+R63+AE63+AS63+BB63+BH63+BE63+BF63</f>
        <v>0</v>
      </c>
      <c r="E63" s="99">
        <f t="shared" si="69"/>
        <v>0</v>
      </c>
      <c r="F63" s="104"/>
      <c r="G63" s="101"/>
      <c r="H63" s="101">
        <f t="shared" si="70"/>
        <v>0</v>
      </c>
      <c r="I63" s="100"/>
      <c r="J63" s="100"/>
      <c r="K63" s="100"/>
      <c r="L63" s="100"/>
      <c r="M63" s="100"/>
      <c r="N63" s="101"/>
      <c r="O63" s="101"/>
      <c r="P63" s="101"/>
      <c r="Q63" s="101"/>
      <c r="R63" s="101">
        <f t="shared" si="71"/>
        <v>0</v>
      </c>
      <c r="S63" s="101">
        <f t="shared" si="72"/>
        <v>0</v>
      </c>
      <c r="T63" s="100"/>
      <c r="U63" s="102"/>
      <c r="V63" s="102"/>
      <c r="W63" s="100"/>
      <c r="X63" s="100"/>
      <c r="Y63" s="100"/>
      <c r="Z63" s="100"/>
      <c r="AA63" s="100"/>
      <c r="AB63" s="100"/>
      <c r="AC63" s="100"/>
      <c r="AD63" s="100"/>
      <c r="AE63" s="101">
        <f t="shared" si="73"/>
        <v>0</v>
      </c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1">
        <f t="shared" si="74"/>
        <v>0</v>
      </c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3"/>
    </row>
    <row r="64" spans="1:62" s="170" customFormat="1" ht="15.75" hidden="1" customHeight="1" x14ac:dyDescent="0.2">
      <c r="A64" s="23"/>
      <c r="B64" s="19" t="s">
        <v>125</v>
      </c>
      <c r="C64" s="93" t="s">
        <v>256</v>
      </c>
      <c r="D64" s="99">
        <f>F64+G64+H64+N64+P64+Q64+R64+AE64+AS64+BB64</f>
        <v>0</v>
      </c>
      <c r="E64" s="99">
        <f t="shared" si="69"/>
        <v>0</v>
      </c>
      <c r="F64" s="104"/>
      <c r="G64" s="101"/>
      <c r="H64" s="101">
        <f t="shared" si="70"/>
        <v>0</v>
      </c>
      <c r="I64" s="100"/>
      <c r="J64" s="100"/>
      <c r="K64" s="100"/>
      <c r="L64" s="100"/>
      <c r="M64" s="100"/>
      <c r="N64" s="101"/>
      <c r="O64" s="101"/>
      <c r="P64" s="101"/>
      <c r="Q64" s="101"/>
      <c r="R64" s="101">
        <f t="shared" si="71"/>
        <v>0</v>
      </c>
      <c r="S64" s="101">
        <f t="shared" si="72"/>
        <v>0</v>
      </c>
      <c r="T64" s="100"/>
      <c r="U64" s="102"/>
      <c r="V64" s="102"/>
      <c r="W64" s="100"/>
      <c r="X64" s="100"/>
      <c r="Y64" s="100"/>
      <c r="Z64" s="100"/>
      <c r="AA64" s="100"/>
      <c r="AB64" s="100"/>
      <c r="AC64" s="100"/>
      <c r="AD64" s="100"/>
      <c r="AE64" s="101">
        <f t="shared" si="73"/>
        <v>0</v>
      </c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1">
        <f t="shared" si="74"/>
        <v>0</v>
      </c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3"/>
    </row>
    <row r="65" spans="1:250" s="170" customFormat="1" ht="15.75" hidden="1" customHeight="1" x14ac:dyDescent="0.2">
      <c r="A65" s="23"/>
      <c r="B65" s="19" t="s">
        <v>125</v>
      </c>
      <c r="C65" s="93" t="s">
        <v>257</v>
      </c>
      <c r="D65" s="99">
        <f>F65+G65+H65+N65+P65+Q65+R65+AE65+AS65+BB65</f>
        <v>0</v>
      </c>
      <c r="E65" s="99">
        <f t="shared" si="69"/>
        <v>0</v>
      </c>
      <c r="F65" s="104"/>
      <c r="G65" s="101"/>
      <c r="H65" s="101">
        <f t="shared" si="70"/>
        <v>0</v>
      </c>
      <c r="I65" s="100"/>
      <c r="J65" s="100"/>
      <c r="K65" s="100"/>
      <c r="L65" s="100"/>
      <c r="M65" s="100"/>
      <c r="N65" s="101"/>
      <c r="O65" s="101"/>
      <c r="P65" s="101"/>
      <c r="Q65" s="101"/>
      <c r="R65" s="101">
        <f t="shared" si="71"/>
        <v>0</v>
      </c>
      <c r="S65" s="101">
        <f t="shared" si="72"/>
        <v>0</v>
      </c>
      <c r="T65" s="100"/>
      <c r="U65" s="102"/>
      <c r="V65" s="102"/>
      <c r="W65" s="100"/>
      <c r="X65" s="100"/>
      <c r="Y65" s="100"/>
      <c r="Z65" s="100"/>
      <c r="AA65" s="100"/>
      <c r="AB65" s="100"/>
      <c r="AC65" s="100"/>
      <c r="AD65" s="100"/>
      <c r="AE65" s="101">
        <f t="shared" si="73"/>
        <v>0</v>
      </c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1">
        <f t="shared" si="74"/>
        <v>0</v>
      </c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3"/>
    </row>
    <row r="66" spans="1:250" s="170" customFormat="1" ht="15.75" hidden="1" customHeight="1" x14ac:dyDescent="0.2">
      <c r="A66" s="23"/>
      <c r="B66" s="19" t="s">
        <v>125</v>
      </c>
      <c r="C66" s="93" t="s">
        <v>258</v>
      </c>
      <c r="D66" s="99">
        <f>F66+G66+H66+N66+P66+Q66+R66+AE66+AS66+BB66</f>
        <v>0</v>
      </c>
      <c r="E66" s="99">
        <f t="shared" si="69"/>
        <v>0</v>
      </c>
      <c r="F66" s="104"/>
      <c r="G66" s="101"/>
      <c r="H66" s="101">
        <f t="shared" si="70"/>
        <v>0</v>
      </c>
      <c r="I66" s="100"/>
      <c r="J66" s="100"/>
      <c r="K66" s="100"/>
      <c r="L66" s="100"/>
      <c r="M66" s="100"/>
      <c r="N66" s="101"/>
      <c r="O66" s="101"/>
      <c r="P66" s="101"/>
      <c r="Q66" s="101"/>
      <c r="R66" s="101">
        <f t="shared" si="71"/>
        <v>0</v>
      </c>
      <c r="S66" s="101">
        <f t="shared" si="72"/>
        <v>0</v>
      </c>
      <c r="T66" s="100"/>
      <c r="U66" s="102"/>
      <c r="V66" s="102"/>
      <c r="W66" s="100"/>
      <c r="X66" s="100"/>
      <c r="Y66" s="100"/>
      <c r="Z66" s="100"/>
      <c r="AA66" s="100"/>
      <c r="AB66" s="100"/>
      <c r="AC66" s="100"/>
      <c r="AD66" s="100"/>
      <c r="AE66" s="101">
        <f t="shared" si="73"/>
        <v>0</v>
      </c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1">
        <f t="shared" si="74"/>
        <v>0</v>
      </c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3"/>
    </row>
    <row r="67" spans="1:250" s="170" customFormat="1" ht="15.75" hidden="1" customHeight="1" x14ac:dyDescent="0.2">
      <c r="A67" s="23"/>
      <c r="B67" s="19" t="s">
        <v>125</v>
      </c>
      <c r="C67" s="93" t="s">
        <v>259</v>
      </c>
      <c r="D67" s="99">
        <f>F67+G67+H67+N67+P67+Q67+R67+AE67+AS67+BB67</f>
        <v>0</v>
      </c>
      <c r="E67" s="99">
        <f t="shared" si="69"/>
        <v>0</v>
      </c>
      <c r="F67" s="104"/>
      <c r="G67" s="101"/>
      <c r="H67" s="101">
        <f t="shared" si="70"/>
        <v>0</v>
      </c>
      <c r="I67" s="100"/>
      <c r="J67" s="100"/>
      <c r="K67" s="100"/>
      <c r="L67" s="100"/>
      <c r="M67" s="100"/>
      <c r="N67" s="101"/>
      <c r="O67" s="101"/>
      <c r="P67" s="101"/>
      <c r="Q67" s="101"/>
      <c r="R67" s="101">
        <f t="shared" si="71"/>
        <v>0</v>
      </c>
      <c r="S67" s="101">
        <f t="shared" si="72"/>
        <v>0</v>
      </c>
      <c r="T67" s="100"/>
      <c r="U67" s="102"/>
      <c r="V67" s="102"/>
      <c r="W67" s="100"/>
      <c r="X67" s="100"/>
      <c r="Y67" s="100"/>
      <c r="Z67" s="100"/>
      <c r="AA67" s="100"/>
      <c r="AB67" s="100"/>
      <c r="AC67" s="100"/>
      <c r="AD67" s="100"/>
      <c r="AE67" s="101">
        <f t="shared" si="73"/>
        <v>0</v>
      </c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1">
        <f t="shared" si="74"/>
        <v>0</v>
      </c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3"/>
    </row>
    <row r="68" spans="1:250" s="170" customFormat="1" ht="15.75" hidden="1" customHeight="1" x14ac:dyDescent="0.2">
      <c r="A68" s="23"/>
      <c r="B68" s="19" t="s">
        <v>125</v>
      </c>
      <c r="C68" s="93" t="s">
        <v>260</v>
      </c>
      <c r="D68" s="99">
        <f>F68+G68+H68+N68+P68+Q68+R68+AE68+AS68+BB68</f>
        <v>0</v>
      </c>
      <c r="E68" s="99">
        <f t="shared" si="69"/>
        <v>0</v>
      </c>
      <c r="F68" s="104"/>
      <c r="G68" s="101"/>
      <c r="H68" s="101">
        <f t="shared" si="70"/>
        <v>0</v>
      </c>
      <c r="I68" s="100"/>
      <c r="J68" s="100"/>
      <c r="K68" s="100"/>
      <c r="L68" s="100"/>
      <c r="M68" s="100"/>
      <c r="N68" s="101"/>
      <c r="O68" s="101"/>
      <c r="P68" s="101"/>
      <c r="Q68" s="101"/>
      <c r="R68" s="101">
        <f t="shared" si="71"/>
        <v>0</v>
      </c>
      <c r="S68" s="101">
        <f t="shared" si="72"/>
        <v>0</v>
      </c>
      <c r="T68" s="100"/>
      <c r="U68" s="102"/>
      <c r="V68" s="102"/>
      <c r="W68" s="100"/>
      <c r="X68" s="100"/>
      <c r="Y68" s="100"/>
      <c r="Z68" s="100"/>
      <c r="AA68" s="100"/>
      <c r="AB68" s="100"/>
      <c r="AC68" s="100"/>
      <c r="AD68" s="100"/>
      <c r="AE68" s="101">
        <f t="shared" si="73"/>
        <v>0</v>
      </c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1">
        <f t="shared" si="74"/>
        <v>0</v>
      </c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3"/>
    </row>
    <row r="69" spans="1:250" s="48" customFormat="1" ht="15.75" hidden="1" customHeight="1" x14ac:dyDescent="0.2">
      <c r="A69" s="47"/>
      <c r="B69" s="19"/>
      <c r="C69" s="129" t="s">
        <v>207</v>
      </c>
      <c r="D69" s="130">
        <f>SUM(D60:D68)</f>
        <v>0</v>
      </c>
      <c r="E69" s="130">
        <f>SUM(E60:E68)</f>
        <v>0</v>
      </c>
      <c r="F69" s="104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5"/>
      <c r="V69" s="105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>
        <f>SUM(AU60:AU68)</f>
        <v>0</v>
      </c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6"/>
    </row>
    <row r="70" spans="1:250" s="170" customFormat="1" ht="15.75" customHeight="1" x14ac:dyDescent="0.2">
      <c r="A70" s="23"/>
      <c r="B70" s="19" t="s">
        <v>125</v>
      </c>
      <c r="C70" s="245" t="s">
        <v>202</v>
      </c>
      <c r="D70" s="99">
        <f>F70+G70+H70+N70+P70+Q70+R70+AE70+AS70+BB70</f>
        <v>26421</v>
      </c>
      <c r="E70" s="99">
        <f t="shared" ref="E70:E79" si="75">F70+G70+H70+O70+N70+P70+Q70+S70+AE70+AS70+BB70+BE70+BG70+BH70</f>
        <v>26421</v>
      </c>
      <c r="F70" s="104"/>
      <c r="G70" s="101"/>
      <c r="H70" s="101">
        <f t="shared" ref="H70:H78" si="76">SUM(I70:M70)</f>
        <v>0</v>
      </c>
      <c r="I70" s="100"/>
      <c r="J70" s="100"/>
      <c r="K70" s="100"/>
      <c r="L70" s="100"/>
      <c r="M70" s="100"/>
      <c r="N70" s="101"/>
      <c r="O70" s="101"/>
      <c r="P70" s="101"/>
      <c r="Q70" s="101"/>
      <c r="R70" s="101">
        <f t="shared" ref="R70:R79" si="77">T70+U70+W70+Y70+AA70+AB70+AC70</f>
        <v>0</v>
      </c>
      <c r="S70" s="101">
        <f t="shared" ref="S70:S78" si="78">T70+V70+X70+Z70+AA70+AB70+AD70</f>
        <v>0</v>
      </c>
      <c r="T70" s="100"/>
      <c r="U70" s="102"/>
      <c r="V70" s="102"/>
      <c r="W70" s="100"/>
      <c r="X70" s="100"/>
      <c r="Y70" s="100"/>
      <c r="Z70" s="100"/>
      <c r="AA70" s="100"/>
      <c r="AB70" s="100"/>
      <c r="AC70" s="100"/>
      <c r="AD70" s="100"/>
      <c r="AE70" s="101">
        <f t="shared" ref="AE70:AE78" si="79">SUM(AF70:AR70)</f>
        <v>0</v>
      </c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1">
        <f t="shared" ref="AS70:AS78" si="80">SUM(AT70:AZ70)</f>
        <v>26421</v>
      </c>
      <c r="AT70" s="100"/>
      <c r="AU70" s="247">
        <v>26421</v>
      </c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3"/>
    </row>
    <row r="71" spans="1:250" s="170" customFormat="1" ht="15.75" customHeight="1" x14ac:dyDescent="0.2">
      <c r="A71" s="23"/>
      <c r="B71" s="19" t="s">
        <v>125</v>
      </c>
      <c r="C71" s="245" t="s">
        <v>203</v>
      </c>
      <c r="D71" s="99">
        <f>F71+G71+H71+N71+P71+Q71+R71+AE71+AS71+BB71</f>
        <v>15288</v>
      </c>
      <c r="E71" s="99">
        <f t="shared" si="75"/>
        <v>15288</v>
      </c>
      <c r="F71" s="104"/>
      <c r="G71" s="101"/>
      <c r="H71" s="101">
        <f t="shared" si="76"/>
        <v>0</v>
      </c>
      <c r="I71" s="100"/>
      <c r="J71" s="100"/>
      <c r="K71" s="100"/>
      <c r="L71" s="100"/>
      <c r="M71" s="100"/>
      <c r="N71" s="101"/>
      <c r="O71" s="101"/>
      <c r="P71" s="101"/>
      <c r="Q71" s="101"/>
      <c r="R71" s="101">
        <f t="shared" si="77"/>
        <v>0</v>
      </c>
      <c r="S71" s="101">
        <f t="shared" si="78"/>
        <v>0</v>
      </c>
      <c r="T71" s="100"/>
      <c r="U71" s="102"/>
      <c r="V71" s="102"/>
      <c r="W71" s="100"/>
      <c r="X71" s="100"/>
      <c r="Y71" s="100"/>
      <c r="Z71" s="100"/>
      <c r="AA71" s="100"/>
      <c r="AB71" s="100"/>
      <c r="AC71" s="100"/>
      <c r="AD71" s="100"/>
      <c r="AE71" s="101">
        <f t="shared" si="79"/>
        <v>0</v>
      </c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1">
        <f t="shared" si="80"/>
        <v>15288</v>
      </c>
      <c r="AT71" s="100"/>
      <c r="AU71" s="247">
        <v>15288</v>
      </c>
      <c r="AV71" s="100"/>
      <c r="AW71" s="100"/>
      <c r="AX71" s="100"/>
      <c r="AY71" s="100"/>
      <c r="AZ71" s="100"/>
      <c r="BA71" s="100"/>
      <c r="BB71" s="100"/>
      <c r="BC71" s="100"/>
      <c r="BD71" s="100"/>
      <c r="BE71" s="100"/>
      <c r="BF71" s="100"/>
      <c r="BG71" s="100"/>
      <c r="BH71" s="103"/>
    </row>
    <row r="72" spans="1:250" s="170" customFormat="1" ht="15.75" customHeight="1" x14ac:dyDescent="0.2">
      <c r="A72" s="23"/>
      <c r="B72" s="19" t="s">
        <v>125</v>
      </c>
      <c r="C72" s="245" t="s">
        <v>204</v>
      </c>
      <c r="D72" s="99">
        <f>F72+G72+H72+N72+P72+Q72+R72+AE72+AS72+BB72</f>
        <v>34639</v>
      </c>
      <c r="E72" s="99">
        <f t="shared" si="75"/>
        <v>34639</v>
      </c>
      <c r="F72" s="104"/>
      <c r="G72" s="101"/>
      <c r="H72" s="101">
        <f t="shared" si="76"/>
        <v>0</v>
      </c>
      <c r="I72" s="100"/>
      <c r="J72" s="100"/>
      <c r="K72" s="100"/>
      <c r="L72" s="100"/>
      <c r="M72" s="100"/>
      <c r="N72" s="101"/>
      <c r="O72" s="101"/>
      <c r="P72" s="101"/>
      <c r="Q72" s="101"/>
      <c r="R72" s="101">
        <f t="shared" si="77"/>
        <v>0</v>
      </c>
      <c r="S72" s="101">
        <f t="shared" si="78"/>
        <v>0</v>
      </c>
      <c r="T72" s="100"/>
      <c r="U72" s="102"/>
      <c r="V72" s="102"/>
      <c r="W72" s="100"/>
      <c r="X72" s="100"/>
      <c r="Y72" s="100"/>
      <c r="Z72" s="100"/>
      <c r="AA72" s="100"/>
      <c r="AB72" s="100"/>
      <c r="AC72" s="100"/>
      <c r="AD72" s="100"/>
      <c r="AE72" s="101">
        <f t="shared" si="79"/>
        <v>0</v>
      </c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1">
        <f t="shared" si="80"/>
        <v>34639</v>
      </c>
      <c r="AT72" s="100"/>
      <c r="AU72" s="247">
        <v>34639</v>
      </c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3"/>
    </row>
    <row r="73" spans="1:250" s="170" customFormat="1" ht="15.75" customHeight="1" x14ac:dyDescent="0.2">
      <c r="A73" s="23"/>
      <c r="B73" s="19" t="s">
        <v>125</v>
      </c>
      <c r="C73" s="245" t="s">
        <v>205</v>
      </c>
      <c r="D73" s="99">
        <f>F73+G73+H73+N73+P73+Q73+R73+AE73+AS73+BB73+BH73+BE73+BF73</f>
        <v>35414</v>
      </c>
      <c r="E73" s="99">
        <f t="shared" si="75"/>
        <v>35414</v>
      </c>
      <c r="F73" s="104"/>
      <c r="G73" s="101"/>
      <c r="H73" s="101">
        <f t="shared" si="76"/>
        <v>0</v>
      </c>
      <c r="I73" s="100"/>
      <c r="J73" s="100"/>
      <c r="K73" s="100"/>
      <c r="L73" s="100"/>
      <c r="M73" s="100"/>
      <c r="N73" s="101"/>
      <c r="O73" s="101"/>
      <c r="P73" s="101"/>
      <c r="Q73" s="101"/>
      <c r="R73" s="101">
        <f t="shared" si="77"/>
        <v>0</v>
      </c>
      <c r="S73" s="101">
        <f t="shared" si="78"/>
        <v>0</v>
      </c>
      <c r="T73" s="100"/>
      <c r="U73" s="102"/>
      <c r="V73" s="102"/>
      <c r="W73" s="100"/>
      <c r="X73" s="100"/>
      <c r="Y73" s="100"/>
      <c r="Z73" s="100"/>
      <c r="AA73" s="100"/>
      <c r="AB73" s="100"/>
      <c r="AC73" s="100"/>
      <c r="AD73" s="100"/>
      <c r="AE73" s="101">
        <f t="shared" si="79"/>
        <v>0</v>
      </c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1">
        <f t="shared" si="80"/>
        <v>35414</v>
      </c>
      <c r="AT73" s="100"/>
      <c r="AU73" s="247">
        <v>35414</v>
      </c>
      <c r="AV73" s="100"/>
      <c r="AW73" s="100"/>
      <c r="AX73" s="100"/>
      <c r="AY73" s="100"/>
      <c r="AZ73" s="100"/>
      <c r="BA73" s="100"/>
      <c r="BB73" s="100"/>
      <c r="BC73" s="100"/>
      <c r="BD73" s="100"/>
      <c r="BE73" s="100"/>
      <c r="BF73" s="100"/>
      <c r="BG73" s="100"/>
      <c r="BH73" s="103"/>
    </row>
    <row r="74" spans="1:250" s="170" customFormat="1" ht="15.75" customHeight="1" x14ac:dyDescent="0.2">
      <c r="A74" s="23"/>
      <c r="B74" s="19" t="s">
        <v>125</v>
      </c>
      <c r="C74" s="245" t="s">
        <v>206</v>
      </c>
      <c r="D74" s="99">
        <f t="shared" ref="D74:D79" si="81">F74+G74+H74+N74+P74+Q74+R74+AE74+AS74+BB74</f>
        <v>14172</v>
      </c>
      <c r="E74" s="99">
        <f t="shared" si="75"/>
        <v>14172</v>
      </c>
      <c r="F74" s="104"/>
      <c r="G74" s="101"/>
      <c r="H74" s="101">
        <f t="shared" si="76"/>
        <v>0</v>
      </c>
      <c r="I74" s="100"/>
      <c r="J74" s="100"/>
      <c r="K74" s="100"/>
      <c r="L74" s="100"/>
      <c r="M74" s="100"/>
      <c r="N74" s="101"/>
      <c r="O74" s="101"/>
      <c r="P74" s="101"/>
      <c r="Q74" s="101"/>
      <c r="R74" s="101">
        <f t="shared" si="77"/>
        <v>0</v>
      </c>
      <c r="S74" s="101">
        <f t="shared" si="78"/>
        <v>0</v>
      </c>
      <c r="T74" s="100"/>
      <c r="U74" s="102"/>
      <c r="V74" s="102"/>
      <c r="W74" s="100"/>
      <c r="X74" s="100"/>
      <c r="Y74" s="100"/>
      <c r="Z74" s="100"/>
      <c r="AA74" s="100"/>
      <c r="AB74" s="100"/>
      <c r="AC74" s="100"/>
      <c r="AD74" s="100"/>
      <c r="AE74" s="101">
        <f t="shared" si="79"/>
        <v>0</v>
      </c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1">
        <f t="shared" si="80"/>
        <v>14172</v>
      </c>
      <c r="AT74" s="100"/>
      <c r="AU74" s="247">
        <v>14172</v>
      </c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3"/>
    </row>
    <row r="75" spans="1:250" s="170" customFormat="1" ht="15.75" customHeight="1" x14ac:dyDescent="0.2">
      <c r="A75" s="23"/>
      <c r="B75" s="19" t="s">
        <v>125</v>
      </c>
      <c r="C75" s="245" t="s">
        <v>322</v>
      </c>
      <c r="D75" s="99">
        <f t="shared" si="81"/>
        <v>25584</v>
      </c>
      <c r="E75" s="99">
        <f t="shared" si="75"/>
        <v>25584</v>
      </c>
      <c r="F75" s="104"/>
      <c r="G75" s="101"/>
      <c r="H75" s="101">
        <f t="shared" si="76"/>
        <v>0</v>
      </c>
      <c r="I75" s="100"/>
      <c r="J75" s="100"/>
      <c r="K75" s="100"/>
      <c r="L75" s="100"/>
      <c r="M75" s="100"/>
      <c r="N75" s="101"/>
      <c r="O75" s="101"/>
      <c r="P75" s="101"/>
      <c r="Q75" s="101"/>
      <c r="R75" s="101">
        <f t="shared" si="77"/>
        <v>0</v>
      </c>
      <c r="S75" s="101">
        <f t="shared" si="78"/>
        <v>0</v>
      </c>
      <c r="T75" s="100"/>
      <c r="U75" s="102"/>
      <c r="V75" s="102"/>
      <c r="W75" s="100"/>
      <c r="X75" s="100"/>
      <c r="Y75" s="100"/>
      <c r="Z75" s="100"/>
      <c r="AA75" s="100"/>
      <c r="AB75" s="100"/>
      <c r="AC75" s="100"/>
      <c r="AD75" s="100"/>
      <c r="AE75" s="101">
        <f t="shared" si="79"/>
        <v>0</v>
      </c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1">
        <f t="shared" si="80"/>
        <v>25584</v>
      </c>
      <c r="AT75" s="100"/>
      <c r="AU75" s="247">
        <v>25584</v>
      </c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  <c r="BH75" s="103"/>
    </row>
    <row r="76" spans="1:250" s="170" customFormat="1" ht="15.75" customHeight="1" x14ac:dyDescent="0.2">
      <c r="A76" s="23"/>
      <c r="B76" s="19" t="s">
        <v>125</v>
      </c>
      <c r="C76" s="245" t="s">
        <v>321</v>
      </c>
      <c r="D76" s="99">
        <f t="shared" si="81"/>
        <v>23475</v>
      </c>
      <c r="E76" s="99">
        <f t="shared" si="75"/>
        <v>23475</v>
      </c>
      <c r="F76" s="104"/>
      <c r="G76" s="101"/>
      <c r="H76" s="101">
        <f t="shared" si="76"/>
        <v>0</v>
      </c>
      <c r="I76" s="100"/>
      <c r="J76" s="100"/>
      <c r="K76" s="100"/>
      <c r="L76" s="100"/>
      <c r="M76" s="100"/>
      <c r="N76" s="101"/>
      <c r="O76" s="101"/>
      <c r="P76" s="101"/>
      <c r="Q76" s="101"/>
      <c r="R76" s="101">
        <f t="shared" si="77"/>
        <v>0</v>
      </c>
      <c r="S76" s="101">
        <f t="shared" si="78"/>
        <v>0</v>
      </c>
      <c r="T76" s="100"/>
      <c r="U76" s="102"/>
      <c r="V76" s="102"/>
      <c r="W76" s="100"/>
      <c r="X76" s="100"/>
      <c r="Y76" s="100"/>
      <c r="Z76" s="100"/>
      <c r="AA76" s="100"/>
      <c r="AB76" s="100"/>
      <c r="AC76" s="100"/>
      <c r="AD76" s="100"/>
      <c r="AE76" s="101">
        <f t="shared" si="79"/>
        <v>0</v>
      </c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1">
        <f t="shared" si="80"/>
        <v>23475</v>
      </c>
      <c r="AT76" s="100"/>
      <c r="AU76" s="247">
        <v>23475</v>
      </c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3"/>
    </row>
    <row r="77" spans="1:250" s="170" customFormat="1" ht="15.75" customHeight="1" x14ac:dyDescent="0.2">
      <c r="A77" s="23"/>
      <c r="B77" s="19" t="s">
        <v>125</v>
      </c>
      <c r="C77" s="245" t="s">
        <v>262</v>
      </c>
      <c r="D77" s="99">
        <f t="shared" si="81"/>
        <v>25619</v>
      </c>
      <c r="E77" s="99">
        <f t="shared" si="75"/>
        <v>25619</v>
      </c>
      <c r="F77" s="104"/>
      <c r="G77" s="101"/>
      <c r="H77" s="101">
        <f t="shared" si="76"/>
        <v>0</v>
      </c>
      <c r="I77" s="100"/>
      <c r="J77" s="100"/>
      <c r="K77" s="100"/>
      <c r="L77" s="100"/>
      <c r="M77" s="100"/>
      <c r="N77" s="101"/>
      <c r="O77" s="101"/>
      <c r="P77" s="101"/>
      <c r="Q77" s="101"/>
      <c r="R77" s="101">
        <f t="shared" si="77"/>
        <v>0</v>
      </c>
      <c r="S77" s="101">
        <f t="shared" si="78"/>
        <v>0</v>
      </c>
      <c r="T77" s="100"/>
      <c r="U77" s="102"/>
      <c r="V77" s="102"/>
      <c r="W77" s="100"/>
      <c r="X77" s="100"/>
      <c r="Y77" s="100"/>
      <c r="Z77" s="100"/>
      <c r="AA77" s="100"/>
      <c r="AB77" s="100"/>
      <c r="AC77" s="100"/>
      <c r="AD77" s="100"/>
      <c r="AE77" s="101">
        <f t="shared" si="79"/>
        <v>0</v>
      </c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1">
        <f t="shared" si="80"/>
        <v>25619</v>
      </c>
      <c r="AT77" s="100"/>
      <c r="AU77" s="247">
        <f>6640+18979</f>
        <v>25619</v>
      </c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3"/>
    </row>
    <row r="78" spans="1:250" s="170" customFormat="1" ht="15.75" customHeight="1" x14ac:dyDescent="0.2">
      <c r="A78" s="45"/>
      <c r="B78" s="20" t="s">
        <v>125</v>
      </c>
      <c r="C78" s="251" t="s">
        <v>261</v>
      </c>
      <c r="D78" s="131">
        <f t="shared" si="81"/>
        <v>31476</v>
      </c>
      <c r="E78" s="99">
        <f t="shared" si="75"/>
        <v>31476</v>
      </c>
      <c r="F78" s="104"/>
      <c r="G78" s="101"/>
      <c r="H78" s="101">
        <f t="shared" si="76"/>
        <v>0</v>
      </c>
      <c r="I78" s="100"/>
      <c r="J78" s="100"/>
      <c r="K78" s="100"/>
      <c r="L78" s="100"/>
      <c r="M78" s="100"/>
      <c r="N78" s="101"/>
      <c r="O78" s="101"/>
      <c r="P78" s="101"/>
      <c r="Q78" s="101"/>
      <c r="R78" s="101">
        <f t="shared" si="77"/>
        <v>0</v>
      </c>
      <c r="S78" s="101">
        <f t="shared" si="78"/>
        <v>0</v>
      </c>
      <c r="T78" s="100"/>
      <c r="U78" s="102"/>
      <c r="V78" s="102"/>
      <c r="W78" s="100"/>
      <c r="X78" s="100"/>
      <c r="Y78" s="100"/>
      <c r="Z78" s="100"/>
      <c r="AA78" s="100"/>
      <c r="AB78" s="100"/>
      <c r="AC78" s="100"/>
      <c r="AD78" s="100"/>
      <c r="AE78" s="101">
        <f t="shared" si="79"/>
        <v>0</v>
      </c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1">
        <f t="shared" si="80"/>
        <v>31476</v>
      </c>
      <c r="AT78" s="100"/>
      <c r="AU78" s="247">
        <v>31476</v>
      </c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3"/>
    </row>
    <row r="79" spans="1:250" s="48" customFormat="1" ht="16.5" customHeight="1" thickBot="1" x14ac:dyDescent="0.25">
      <c r="A79" s="205"/>
      <c r="B79" s="49"/>
      <c r="C79" s="132" t="s">
        <v>208</v>
      </c>
      <c r="D79" s="133">
        <f t="shared" si="81"/>
        <v>232088</v>
      </c>
      <c r="E79" s="128">
        <f t="shared" si="75"/>
        <v>232088</v>
      </c>
      <c r="F79" s="104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>
        <f t="shared" si="77"/>
        <v>0</v>
      </c>
      <c r="S79" s="101">
        <f>SUM(S70:S78)</f>
        <v>0</v>
      </c>
      <c r="T79" s="101"/>
      <c r="U79" s="105"/>
      <c r="V79" s="105"/>
      <c r="W79" s="101"/>
      <c r="X79" s="101"/>
      <c r="Y79" s="101"/>
      <c r="Z79" s="101"/>
      <c r="AA79" s="101"/>
      <c r="AB79" s="101"/>
      <c r="AC79" s="101"/>
      <c r="AD79" s="101"/>
      <c r="AE79" s="101">
        <f>AF79+AG79+AI79+AJ79+AK79+AL79+AM79+AN79+AP79+AR79</f>
        <v>0</v>
      </c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>
        <f>SUM(AT79:AY79)</f>
        <v>232088</v>
      </c>
      <c r="AT79" s="101"/>
      <c r="AU79" s="101">
        <f>SUM(AU70:AU78)</f>
        <v>232088</v>
      </c>
      <c r="AV79" s="101"/>
      <c r="AW79" s="101"/>
      <c r="AX79" s="101"/>
      <c r="AY79" s="101"/>
      <c r="AZ79" s="101"/>
      <c r="BA79" s="101"/>
      <c r="BB79" s="101"/>
      <c r="BC79" s="101"/>
      <c r="BD79" s="101"/>
      <c r="BE79" s="101"/>
      <c r="BF79" s="101"/>
      <c r="BG79" s="101"/>
      <c r="BH79" s="106"/>
      <c r="IP79" s="48">
        <f>SUM(A79:IO79)</f>
        <v>928352</v>
      </c>
    </row>
    <row r="80" spans="1:250" s="48" customFormat="1" ht="16.5" hidden="1" customHeight="1" thickBot="1" x14ac:dyDescent="0.25">
      <c r="A80" s="50"/>
      <c r="B80" s="51"/>
      <c r="C80" s="177"/>
      <c r="D80" s="109"/>
      <c r="E80" s="109"/>
      <c r="F80" s="223"/>
      <c r="G80" s="110"/>
      <c r="H80" s="110"/>
      <c r="I80" s="127"/>
      <c r="J80" s="127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1"/>
      <c r="V80" s="111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27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3"/>
    </row>
    <row r="81" spans="1:63" s="3" customFormat="1" ht="27.75" customHeight="1" thickBot="1" x14ac:dyDescent="0.25">
      <c r="A81" s="28" t="s">
        <v>23</v>
      </c>
      <c r="B81" s="29" t="s">
        <v>90</v>
      </c>
      <c r="C81" s="114" t="s">
        <v>24</v>
      </c>
      <c r="D81" s="115">
        <f t="shared" ref="D81:AI81" si="82">D82+D84+D89+D99</f>
        <v>105316441</v>
      </c>
      <c r="E81" s="134">
        <f t="shared" si="82"/>
        <v>101070411</v>
      </c>
      <c r="F81" s="226">
        <f t="shared" si="82"/>
        <v>77044095</v>
      </c>
      <c r="G81" s="135">
        <f t="shared" si="82"/>
        <v>15708833</v>
      </c>
      <c r="H81" s="135">
        <f t="shared" si="82"/>
        <v>7145376</v>
      </c>
      <c r="I81" s="135">
        <f t="shared" si="82"/>
        <v>15800</v>
      </c>
      <c r="J81" s="135">
        <f t="shared" si="82"/>
        <v>0</v>
      </c>
      <c r="K81" s="135">
        <f t="shared" si="82"/>
        <v>6137749</v>
      </c>
      <c r="L81" s="135">
        <f t="shared" si="82"/>
        <v>881914</v>
      </c>
      <c r="M81" s="135">
        <f t="shared" si="82"/>
        <v>109913</v>
      </c>
      <c r="N81" s="135">
        <f t="shared" si="82"/>
        <v>5740</v>
      </c>
      <c r="O81" s="135">
        <f t="shared" si="82"/>
        <v>0</v>
      </c>
      <c r="P81" s="135">
        <f t="shared" si="82"/>
        <v>0</v>
      </c>
      <c r="Q81" s="135">
        <f t="shared" si="82"/>
        <v>145010</v>
      </c>
      <c r="R81" s="135">
        <f t="shared" si="82"/>
        <v>4297024</v>
      </c>
      <c r="S81" s="135">
        <f t="shared" si="82"/>
        <v>50994</v>
      </c>
      <c r="T81" s="135">
        <f t="shared" si="82"/>
        <v>30399</v>
      </c>
      <c r="U81" s="135">
        <f t="shared" si="82"/>
        <v>3107110</v>
      </c>
      <c r="V81" s="135">
        <f t="shared" si="82"/>
        <v>0</v>
      </c>
      <c r="W81" s="135">
        <f t="shared" si="82"/>
        <v>728683</v>
      </c>
      <c r="X81" s="135">
        <f t="shared" si="82"/>
        <v>0</v>
      </c>
      <c r="Y81" s="135">
        <f t="shared" si="82"/>
        <v>394081</v>
      </c>
      <c r="Z81" s="135">
        <f t="shared" si="82"/>
        <v>0</v>
      </c>
      <c r="AA81" s="135">
        <f t="shared" si="82"/>
        <v>20595</v>
      </c>
      <c r="AB81" s="135">
        <f t="shared" si="82"/>
        <v>0</v>
      </c>
      <c r="AC81" s="135">
        <f t="shared" si="82"/>
        <v>16156</v>
      </c>
      <c r="AD81" s="135">
        <f t="shared" si="82"/>
        <v>0</v>
      </c>
      <c r="AE81" s="135">
        <f t="shared" si="82"/>
        <v>870229</v>
      </c>
      <c r="AF81" s="135">
        <f t="shared" si="82"/>
        <v>7150</v>
      </c>
      <c r="AG81" s="135">
        <f t="shared" si="82"/>
        <v>433197</v>
      </c>
      <c r="AH81" s="135">
        <f t="shared" si="82"/>
        <v>0</v>
      </c>
      <c r="AI81" s="135">
        <f t="shared" si="82"/>
        <v>7300</v>
      </c>
      <c r="AJ81" s="135">
        <f t="shared" ref="AJ81:BH81" si="83">AJ82+AJ84+AJ89+AJ99</f>
        <v>0</v>
      </c>
      <c r="AK81" s="135">
        <f t="shared" si="83"/>
        <v>7800</v>
      </c>
      <c r="AL81" s="135">
        <f t="shared" si="83"/>
        <v>29200</v>
      </c>
      <c r="AM81" s="135">
        <f t="shared" si="83"/>
        <v>0</v>
      </c>
      <c r="AN81" s="135">
        <f t="shared" si="83"/>
        <v>1600</v>
      </c>
      <c r="AO81" s="135">
        <f t="shared" si="83"/>
        <v>61331</v>
      </c>
      <c r="AP81" s="135">
        <f t="shared" si="83"/>
        <v>0</v>
      </c>
      <c r="AQ81" s="135">
        <f t="shared" ref="AQ81" si="84">AQ82+AQ84+AQ89+AQ99</f>
        <v>0</v>
      </c>
      <c r="AR81" s="135">
        <f t="shared" si="83"/>
        <v>322651</v>
      </c>
      <c r="AS81" s="135">
        <f t="shared" si="83"/>
        <v>0</v>
      </c>
      <c r="AT81" s="135">
        <f t="shared" si="83"/>
        <v>0</v>
      </c>
      <c r="AU81" s="135">
        <f t="shared" si="83"/>
        <v>0</v>
      </c>
      <c r="AV81" s="135">
        <f t="shared" si="83"/>
        <v>0</v>
      </c>
      <c r="AW81" s="135">
        <f t="shared" si="83"/>
        <v>0</v>
      </c>
      <c r="AX81" s="135">
        <f t="shared" si="83"/>
        <v>0</v>
      </c>
      <c r="AY81" s="135">
        <f t="shared" si="83"/>
        <v>0</v>
      </c>
      <c r="AZ81" s="135">
        <f t="shared" si="83"/>
        <v>0</v>
      </c>
      <c r="BA81" s="135">
        <f t="shared" si="83"/>
        <v>0</v>
      </c>
      <c r="BB81" s="135">
        <f t="shared" si="83"/>
        <v>100134</v>
      </c>
      <c r="BC81" s="135">
        <f t="shared" si="83"/>
        <v>0</v>
      </c>
      <c r="BD81" s="135">
        <f t="shared" si="83"/>
        <v>0</v>
      </c>
      <c r="BE81" s="135">
        <f t="shared" si="83"/>
        <v>0</v>
      </c>
      <c r="BF81" s="135">
        <f t="shared" si="83"/>
        <v>0</v>
      </c>
      <c r="BG81" s="135">
        <f t="shared" si="83"/>
        <v>0</v>
      </c>
      <c r="BH81" s="136">
        <f t="shared" si="83"/>
        <v>0</v>
      </c>
    </row>
    <row r="82" spans="1:63" s="170" customFormat="1" ht="20.25" customHeight="1" x14ac:dyDescent="0.2">
      <c r="A82" s="18" t="s">
        <v>126</v>
      </c>
      <c r="B82" s="19" t="s">
        <v>90</v>
      </c>
      <c r="C82" s="93" t="s">
        <v>25</v>
      </c>
      <c r="D82" s="94">
        <f>D83</f>
        <v>34318714</v>
      </c>
      <c r="E82" s="94">
        <f>E83</f>
        <v>32639908</v>
      </c>
      <c r="F82" s="219">
        <f t="shared" ref="F82:G82" si="85">F83</f>
        <v>24790644</v>
      </c>
      <c r="G82" s="95">
        <f t="shared" si="85"/>
        <v>4700536</v>
      </c>
      <c r="H82" s="95">
        <f t="shared" ref="H82:AD82" si="86">H83</f>
        <v>2736779</v>
      </c>
      <c r="I82" s="95">
        <f t="shared" si="86"/>
        <v>6850</v>
      </c>
      <c r="J82" s="95">
        <f t="shared" si="86"/>
        <v>0</v>
      </c>
      <c r="K82" s="95">
        <f t="shared" si="86"/>
        <v>2715149</v>
      </c>
      <c r="L82" s="95">
        <f t="shared" si="86"/>
        <v>0</v>
      </c>
      <c r="M82" s="95">
        <f t="shared" si="86"/>
        <v>14780</v>
      </c>
      <c r="N82" s="95">
        <f t="shared" si="86"/>
        <v>1800</v>
      </c>
      <c r="O82" s="95">
        <f t="shared" si="86"/>
        <v>0</v>
      </c>
      <c r="P82" s="95">
        <f t="shared" si="86"/>
        <v>0</v>
      </c>
      <c r="Q82" s="95">
        <f t="shared" si="86"/>
        <v>49000</v>
      </c>
      <c r="R82" s="95">
        <f t="shared" si="86"/>
        <v>1694801</v>
      </c>
      <c r="S82" s="95">
        <f t="shared" si="86"/>
        <v>15995</v>
      </c>
      <c r="T82" s="95">
        <f t="shared" si="86"/>
        <v>4150</v>
      </c>
      <c r="U82" s="95">
        <f t="shared" si="86"/>
        <v>1056204</v>
      </c>
      <c r="V82" s="95">
        <f t="shared" si="86"/>
        <v>0</v>
      </c>
      <c r="W82" s="95">
        <f t="shared" si="86"/>
        <v>364493</v>
      </c>
      <c r="X82" s="95">
        <f t="shared" si="86"/>
        <v>0</v>
      </c>
      <c r="Y82" s="95">
        <f t="shared" si="86"/>
        <v>257570</v>
      </c>
      <c r="Z82" s="95">
        <f t="shared" si="86"/>
        <v>0</v>
      </c>
      <c r="AA82" s="95">
        <f t="shared" si="86"/>
        <v>11845</v>
      </c>
      <c r="AB82" s="95">
        <f t="shared" si="86"/>
        <v>0</v>
      </c>
      <c r="AC82" s="95">
        <f t="shared" si="86"/>
        <v>539</v>
      </c>
      <c r="AD82" s="95">
        <f t="shared" si="86"/>
        <v>0</v>
      </c>
      <c r="AE82" s="95">
        <f>SUM(AF82:AR82)</f>
        <v>296994</v>
      </c>
      <c r="AF82" s="95">
        <f t="shared" ref="AF82:AU82" si="87">AF83</f>
        <v>1000</v>
      </c>
      <c r="AG82" s="95">
        <f t="shared" si="87"/>
        <v>120250</v>
      </c>
      <c r="AH82" s="95">
        <f t="shared" si="87"/>
        <v>0</v>
      </c>
      <c r="AI82" s="95">
        <f t="shared" si="87"/>
        <v>3500</v>
      </c>
      <c r="AJ82" s="95">
        <f t="shared" si="87"/>
        <v>0</v>
      </c>
      <c r="AK82" s="95">
        <f t="shared" si="87"/>
        <v>2000</v>
      </c>
      <c r="AL82" s="95">
        <f t="shared" si="87"/>
        <v>4000</v>
      </c>
      <c r="AM82" s="95">
        <f t="shared" si="87"/>
        <v>0</v>
      </c>
      <c r="AN82" s="95">
        <f t="shared" si="87"/>
        <v>1600</v>
      </c>
      <c r="AO82" s="95">
        <f t="shared" si="87"/>
        <v>24921</v>
      </c>
      <c r="AP82" s="95">
        <f t="shared" si="87"/>
        <v>0</v>
      </c>
      <c r="AQ82" s="95">
        <f t="shared" si="87"/>
        <v>0</v>
      </c>
      <c r="AR82" s="95">
        <f t="shared" si="87"/>
        <v>139723</v>
      </c>
      <c r="AS82" s="95">
        <f t="shared" si="87"/>
        <v>0</v>
      </c>
      <c r="AT82" s="95">
        <f t="shared" si="87"/>
        <v>0</v>
      </c>
      <c r="AU82" s="95">
        <f t="shared" si="87"/>
        <v>0</v>
      </c>
      <c r="AV82" s="95"/>
      <c r="AW82" s="95"/>
      <c r="AX82" s="95"/>
      <c r="AY82" s="95">
        <f>AY83</f>
        <v>0</v>
      </c>
      <c r="AZ82" s="95">
        <f>AZ83</f>
        <v>0</v>
      </c>
      <c r="BA82" s="95"/>
      <c r="BB82" s="95">
        <f>BB83</f>
        <v>48160</v>
      </c>
      <c r="BC82" s="97"/>
      <c r="BD82" s="97"/>
      <c r="BE82" s="95">
        <f>BE83</f>
        <v>0</v>
      </c>
      <c r="BF82" s="95">
        <f>BF83</f>
        <v>0</v>
      </c>
      <c r="BG82" s="95">
        <f>BG83</f>
        <v>0</v>
      </c>
      <c r="BH82" s="98">
        <f>BH83</f>
        <v>0</v>
      </c>
    </row>
    <row r="83" spans="1:63" s="170" customFormat="1" ht="15.75" customHeight="1" x14ac:dyDescent="0.25">
      <c r="A83" s="23"/>
      <c r="B83" s="19" t="s">
        <v>127</v>
      </c>
      <c r="C83" s="245" t="s">
        <v>26</v>
      </c>
      <c r="D83" s="99">
        <f>F83+G83+H83+N83+P83+Q83+R83+AE83+AS83+BB83+BF83+BE83</f>
        <v>34318714</v>
      </c>
      <c r="E83" s="99">
        <f>F83+G83+H83+O83+N83+P83+Q83+S83+AE83+AS83+BB83+BE83+BG83+BH83</f>
        <v>32639908</v>
      </c>
      <c r="F83" s="220">
        <v>24790644</v>
      </c>
      <c r="G83" s="237">
        <v>4700536</v>
      </c>
      <c r="H83" s="101">
        <f>SUM(I83:M83)</f>
        <v>2736779</v>
      </c>
      <c r="I83" s="100">
        <v>6850</v>
      </c>
      <c r="J83" s="100"/>
      <c r="K83" s="100">
        <v>2715149</v>
      </c>
      <c r="L83" s="100"/>
      <c r="M83" s="100">
        <v>14780</v>
      </c>
      <c r="N83" s="100">
        <v>1800</v>
      </c>
      <c r="O83" s="101"/>
      <c r="P83" s="101"/>
      <c r="Q83" s="100">
        <v>49000</v>
      </c>
      <c r="R83" s="101">
        <f>T83+U83+W83+Y83+AA83+AB83+AC83</f>
        <v>1694801</v>
      </c>
      <c r="S83" s="101">
        <f t="shared" ref="S83" si="88">T83+V83+X83+Z83+AA83+AB83+AD83</f>
        <v>15995</v>
      </c>
      <c r="T83" s="100">
        <v>4150</v>
      </c>
      <c r="U83" s="100">
        <v>1056204</v>
      </c>
      <c r="V83" s="100"/>
      <c r="W83" s="100">
        <v>364493</v>
      </c>
      <c r="X83" s="100"/>
      <c r="Y83" s="100">
        <v>257570</v>
      </c>
      <c r="Z83" s="100"/>
      <c r="AA83" s="100">
        <v>11845</v>
      </c>
      <c r="AB83" s="100"/>
      <c r="AC83" s="100">
        <v>539</v>
      </c>
      <c r="AD83" s="102"/>
      <c r="AE83" s="101">
        <f>SUM(AF83:AR83)</f>
        <v>296994</v>
      </c>
      <c r="AF83" s="100">
        <v>1000</v>
      </c>
      <c r="AG83" s="247">
        <f>70000+(427500-375000-2250)</f>
        <v>120250</v>
      </c>
      <c r="AH83" s="100"/>
      <c r="AI83" s="100">
        <v>3500</v>
      </c>
      <c r="AJ83" s="100"/>
      <c r="AK83" s="100">
        <v>2000</v>
      </c>
      <c r="AL83" s="100">
        <v>4000</v>
      </c>
      <c r="AM83" s="100"/>
      <c r="AN83" s="100">
        <v>1600</v>
      </c>
      <c r="AO83" s="100">
        <v>24921</v>
      </c>
      <c r="AP83" s="100"/>
      <c r="AQ83" s="100"/>
      <c r="AR83" s="247">
        <f>89723+50000</f>
        <v>139723</v>
      </c>
      <c r="AS83" s="101">
        <f>SUM(AT83:AZ83)</f>
        <v>0</v>
      </c>
      <c r="AT83" s="100"/>
      <c r="AU83" s="100"/>
      <c r="AV83" s="100"/>
      <c r="AW83" s="100"/>
      <c r="AX83" s="100"/>
      <c r="AY83" s="100"/>
      <c r="AZ83" s="100"/>
      <c r="BA83" s="100"/>
      <c r="BB83" s="100">
        <v>48160</v>
      </c>
      <c r="BC83" s="100"/>
      <c r="BD83" s="100"/>
      <c r="BE83" s="100"/>
      <c r="BF83" s="100"/>
      <c r="BG83" s="100"/>
      <c r="BH83" s="103"/>
    </row>
    <row r="84" spans="1:63" s="170" customFormat="1" ht="20.25" customHeight="1" x14ac:dyDescent="0.2">
      <c r="A84" s="18" t="s">
        <v>128</v>
      </c>
      <c r="B84" s="19" t="s">
        <v>90</v>
      </c>
      <c r="C84" s="93" t="s">
        <v>27</v>
      </c>
      <c r="D84" s="128">
        <f>D85+D86+D87+D88</f>
        <v>54912473</v>
      </c>
      <c r="E84" s="128">
        <f>E85+E86+E87+E88</f>
        <v>52691299</v>
      </c>
      <c r="F84" s="104">
        <f>F85+F86+F87+F88</f>
        <v>39770025</v>
      </c>
      <c r="G84" s="101">
        <f>G85+G86+G87+G88</f>
        <v>8090045</v>
      </c>
      <c r="H84" s="101">
        <f t="shared" ref="H84:AD84" si="89">H85+H86+H87+H88</f>
        <v>4184413</v>
      </c>
      <c r="I84" s="101">
        <f t="shared" si="89"/>
        <v>8950</v>
      </c>
      <c r="J84" s="101">
        <f t="shared" si="89"/>
        <v>0</v>
      </c>
      <c r="K84" s="101">
        <f t="shared" si="89"/>
        <v>3361374</v>
      </c>
      <c r="L84" s="101">
        <f t="shared" si="89"/>
        <v>749539</v>
      </c>
      <c r="M84" s="101">
        <f t="shared" si="89"/>
        <v>64550</v>
      </c>
      <c r="N84" s="101">
        <f t="shared" si="89"/>
        <v>1440</v>
      </c>
      <c r="O84" s="101">
        <f>O85+O86+O87+O88</f>
        <v>0</v>
      </c>
      <c r="P84" s="101">
        <f t="shared" si="89"/>
        <v>0</v>
      </c>
      <c r="Q84" s="101">
        <f t="shared" si="89"/>
        <v>55700</v>
      </c>
      <c r="R84" s="101">
        <f t="shared" si="89"/>
        <v>2234124</v>
      </c>
      <c r="S84" s="101">
        <f t="shared" ref="S84" si="90">S85+S86+S87+S88</f>
        <v>12950</v>
      </c>
      <c r="T84" s="101">
        <f t="shared" si="89"/>
        <v>4200</v>
      </c>
      <c r="U84" s="101">
        <f t="shared" si="89"/>
        <v>1803128</v>
      </c>
      <c r="V84" s="101">
        <f t="shared" si="89"/>
        <v>0</v>
      </c>
      <c r="W84" s="101">
        <f t="shared" si="89"/>
        <v>294708</v>
      </c>
      <c r="X84" s="101">
        <f t="shared" si="89"/>
        <v>0</v>
      </c>
      <c r="Y84" s="101">
        <f t="shared" si="89"/>
        <v>120088</v>
      </c>
      <c r="Z84" s="101">
        <f t="shared" si="89"/>
        <v>0</v>
      </c>
      <c r="AA84" s="101">
        <f t="shared" si="89"/>
        <v>8750</v>
      </c>
      <c r="AB84" s="101">
        <f t="shared" si="89"/>
        <v>0</v>
      </c>
      <c r="AC84" s="101">
        <f t="shared" si="89"/>
        <v>3250</v>
      </c>
      <c r="AD84" s="101">
        <f t="shared" si="89"/>
        <v>0</v>
      </c>
      <c r="AE84" s="101">
        <f>AF84+AG84+AI84+AJ84+AK84+AL84+AM84+AN84+AP84+AR84+AH84+AO84</f>
        <v>531908</v>
      </c>
      <c r="AF84" s="101">
        <f t="shared" ref="AF84:AU84" si="91">AF85+AF86+AF87+AF88</f>
        <v>2000</v>
      </c>
      <c r="AG84" s="101">
        <f t="shared" si="91"/>
        <v>307947</v>
      </c>
      <c r="AH84" s="101">
        <f t="shared" si="91"/>
        <v>0</v>
      </c>
      <c r="AI84" s="101">
        <f t="shared" si="91"/>
        <v>3500</v>
      </c>
      <c r="AJ84" s="101">
        <f t="shared" si="91"/>
        <v>0</v>
      </c>
      <c r="AK84" s="101">
        <f t="shared" si="91"/>
        <v>5800</v>
      </c>
      <c r="AL84" s="101">
        <f t="shared" si="91"/>
        <v>20700</v>
      </c>
      <c r="AM84" s="101">
        <f t="shared" si="91"/>
        <v>0</v>
      </c>
      <c r="AN84" s="101">
        <f t="shared" si="91"/>
        <v>0</v>
      </c>
      <c r="AO84" s="101">
        <f>AO85+AO86+AO87+AO88</f>
        <v>36410</v>
      </c>
      <c r="AP84" s="101">
        <f t="shared" si="91"/>
        <v>0</v>
      </c>
      <c r="AQ84" s="101">
        <f t="shared" ref="AQ84" si="92">AQ85+AQ86+AQ87+AQ88</f>
        <v>0</v>
      </c>
      <c r="AR84" s="101">
        <f t="shared" si="91"/>
        <v>155551</v>
      </c>
      <c r="AS84" s="101">
        <f t="shared" si="91"/>
        <v>0</v>
      </c>
      <c r="AT84" s="101">
        <f t="shared" si="91"/>
        <v>0</v>
      </c>
      <c r="AU84" s="101">
        <f t="shared" si="91"/>
        <v>0</v>
      </c>
      <c r="AV84" s="101"/>
      <c r="AW84" s="101"/>
      <c r="AX84" s="101"/>
      <c r="AY84" s="101">
        <f>AY85+AY86+AY87+AY88</f>
        <v>0</v>
      </c>
      <c r="AZ84" s="101">
        <f>AZ85+AZ86+AZ87+AZ88</f>
        <v>0</v>
      </c>
      <c r="BA84" s="101"/>
      <c r="BB84" s="101">
        <f>BB85+BB86+BB87+BB88</f>
        <v>44818</v>
      </c>
      <c r="BC84" s="100"/>
      <c r="BD84" s="100">
        <f>BD86+BD85+BD87+BD88</f>
        <v>0</v>
      </c>
      <c r="BE84" s="101"/>
      <c r="BF84" s="101">
        <f>BF85+BF86+BF87+BF88</f>
        <v>0</v>
      </c>
      <c r="BG84" s="101"/>
      <c r="BH84" s="106"/>
      <c r="BJ84" s="170" t="s">
        <v>314</v>
      </c>
      <c r="BK84" s="170" t="s">
        <v>315</v>
      </c>
    </row>
    <row r="85" spans="1:63" s="170" customFormat="1" ht="15.75" customHeight="1" x14ac:dyDescent="0.2">
      <c r="A85" s="23"/>
      <c r="B85" s="19" t="s">
        <v>129</v>
      </c>
      <c r="C85" s="245" t="s">
        <v>28</v>
      </c>
      <c r="D85" s="99">
        <f>F85+G85+H85+N85+P85+Q85+R85+AE85+AS85+BB85+BF85</f>
        <v>31845051</v>
      </c>
      <c r="E85" s="99">
        <f>F85+G85+H85+O85+N85+P85+Q85+S85+AE85+AS85+BB85+BE85+BG85+BH85</f>
        <v>30561273</v>
      </c>
      <c r="F85" s="220">
        <v>24055868</v>
      </c>
      <c r="G85" s="100">
        <v>4725160</v>
      </c>
      <c r="H85" s="101">
        <f>SUM(I85:M85)</f>
        <v>1467589</v>
      </c>
      <c r="I85" s="100">
        <v>4800</v>
      </c>
      <c r="J85" s="100"/>
      <c r="K85" s="100">
        <v>1312939</v>
      </c>
      <c r="L85" s="100">
        <v>100150</v>
      </c>
      <c r="M85" s="100">
        <v>49700</v>
      </c>
      <c r="N85" s="100">
        <v>1440</v>
      </c>
      <c r="O85" s="101"/>
      <c r="P85" s="101"/>
      <c r="Q85" s="100">
        <v>36400</v>
      </c>
      <c r="R85" s="101">
        <f>T85+U85+W85+Y85+AA85+AB85+AC85</f>
        <v>1288228</v>
      </c>
      <c r="S85" s="101">
        <f t="shared" ref="S85:S88" si="93">T85+V85+X85+Z85+AA85+AB85+AD85</f>
        <v>4450</v>
      </c>
      <c r="T85" s="100">
        <v>700</v>
      </c>
      <c r="U85" s="100">
        <v>1019548</v>
      </c>
      <c r="V85" s="100"/>
      <c r="W85" s="100">
        <v>178204</v>
      </c>
      <c r="X85" s="100"/>
      <c r="Y85" s="100">
        <v>83078</v>
      </c>
      <c r="Z85" s="100"/>
      <c r="AA85" s="100">
        <v>3750</v>
      </c>
      <c r="AB85" s="100"/>
      <c r="AC85" s="100">
        <v>2948</v>
      </c>
      <c r="AD85" s="102"/>
      <c r="AE85" s="101">
        <f>SUM(AF85:AR85)</f>
        <v>237366</v>
      </c>
      <c r="AF85" s="100">
        <v>1000</v>
      </c>
      <c r="AG85" s="247">
        <f>54750+(386100-340935)</f>
        <v>99915</v>
      </c>
      <c r="AH85" s="100"/>
      <c r="AI85" s="100">
        <v>2000</v>
      </c>
      <c r="AJ85" s="100"/>
      <c r="AK85" s="100">
        <v>5800</v>
      </c>
      <c r="AL85" s="100">
        <v>14200</v>
      </c>
      <c r="AM85" s="100"/>
      <c r="AN85" s="100"/>
      <c r="AO85" s="100"/>
      <c r="AP85" s="100"/>
      <c r="AQ85" s="100"/>
      <c r="AR85" s="247">
        <f>83451+31000</f>
        <v>114451</v>
      </c>
      <c r="AS85" s="101">
        <f>SUM(AT85:AZ85)</f>
        <v>0</v>
      </c>
      <c r="AT85" s="100"/>
      <c r="AU85" s="100"/>
      <c r="AV85" s="100"/>
      <c r="AW85" s="100"/>
      <c r="AX85" s="100"/>
      <c r="AY85" s="100"/>
      <c r="AZ85" s="100"/>
      <c r="BA85" s="100"/>
      <c r="BB85" s="100">
        <v>33000</v>
      </c>
      <c r="BC85" s="100"/>
      <c r="BD85" s="100"/>
      <c r="BE85" s="100"/>
      <c r="BF85" s="100"/>
      <c r="BG85" s="100"/>
      <c r="BH85" s="103"/>
      <c r="BI85" s="173">
        <f>BJ85+BK85</f>
        <v>891330</v>
      </c>
      <c r="BJ85" s="173">
        <v>891330</v>
      </c>
      <c r="BK85" s="173"/>
    </row>
    <row r="86" spans="1:63" s="170" customFormat="1" ht="15.75" customHeight="1" x14ac:dyDescent="0.2">
      <c r="A86" s="23"/>
      <c r="B86" s="19" t="s">
        <v>130</v>
      </c>
      <c r="C86" s="245" t="s">
        <v>29</v>
      </c>
      <c r="D86" s="99">
        <f>F86+G86+H86+N86+P86+Q86+R86+AE86+AS86+BB86+BF86+BD86</f>
        <v>14127683</v>
      </c>
      <c r="E86" s="99">
        <f>F86+G86+H86+O86+N86+P86+Q86+S86+AE86+AS86+BB86+BE86+BG86+BH86</f>
        <v>13448136</v>
      </c>
      <c r="F86" s="220">
        <v>9870557</v>
      </c>
      <c r="G86" s="100">
        <v>2172974</v>
      </c>
      <c r="H86" s="101">
        <f>SUM(I86:M86)</f>
        <v>1149455</v>
      </c>
      <c r="I86" s="100">
        <v>2000</v>
      </c>
      <c r="J86" s="100"/>
      <c r="K86" s="100">
        <v>489216</v>
      </c>
      <c r="L86" s="100">
        <v>649389</v>
      </c>
      <c r="M86" s="100">
        <v>8850</v>
      </c>
      <c r="N86" s="100"/>
      <c r="O86" s="101"/>
      <c r="P86" s="101"/>
      <c r="Q86" s="100">
        <v>18200</v>
      </c>
      <c r="R86" s="101">
        <f>T86+U86+W86+Y86+AA86+AB86+AC86</f>
        <v>686547</v>
      </c>
      <c r="S86" s="101">
        <f t="shared" si="93"/>
        <v>7000</v>
      </c>
      <c r="T86" s="100">
        <v>2000</v>
      </c>
      <c r="U86" s="100">
        <v>592375</v>
      </c>
      <c r="V86" s="100"/>
      <c r="W86" s="100">
        <v>75092</v>
      </c>
      <c r="X86" s="100"/>
      <c r="Y86" s="100">
        <v>11778</v>
      </c>
      <c r="Z86" s="100"/>
      <c r="AA86" s="100">
        <v>5000</v>
      </c>
      <c r="AB86" s="100"/>
      <c r="AC86" s="100">
        <v>302</v>
      </c>
      <c r="AD86" s="102"/>
      <c r="AE86" s="101">
        <f>SUM(AF86:AR86)</f>
        <v>226132</v>
      </c>
      <c r="AF86" s="100"/>
      <c r="AG86" s="247">
        <f>22632+(186400-6500)</f>
        <v>202532</v>
      </c>
      <c r="AH86" s="100"/>
      <c r="AI86" s="100">
        <v>1000</v>
      </c>
      <c r="AJ86" s="100"/>
      <c r="AK86" s="100"/>
      <c r="AL86" s="100">
        <v>1500</v>
      </c>
      <c r="AM86" s="100"/>
      <c r="AN86" s="100"/>
      <c r="AO86" s="100"/>
      <c r="AP86" s="100"/>
      <c r="AQ86" s="100"/>
      <c r="AR86" s="247">
        <f>14600+6500</f>
        <v>21100</v>
      </c>
      <c r="AS86" s="101">
        <f>SUM(AT86:AZ86)</f>
        <v>0</v>
      </c>
      <c r="AT86" s="100"/>
      <c r="AU86" s="100"/>
      <c r="AV86" s="100"/>
      <c r="AW86" s="100"/>
      <c r="AX86" s="100"/>
      <c r="AY86" s="100"/>
      <c r="AZ86" s="100"/>
      <c r="BA86" s="100"/>
      <c r="BB86" s="100">
        <v>3818</v>
      </c>
      <c r="BC86" s="100"/>
      <c r="BD86" s="100"/>
      <c r="BE86" s="100"/>
      <c r="BF86" s="100"/>
      <c r="BG86" s="100"/>
      <c r="BH86" s="103"/>
      <c r="BJ86" s="173"/>
    </row>
    <row r="87" spans="1:63" s="170" customFormat="1" ht="15.75" customHeight="1" x14ac:dyDescent="0.2">
      <c r="A87" s="23"/>
      <c r="B87" s="19" t="s">
        <v>131</v>
      </c>
      <c r="C87" s="93" t="s">
        <v>30</v>
      </c>
      <c r="D87" s="99">
        <f>F87+G87+H87+N87+P87+Q87+R87+AE87+AS87+BB87+BF87</f>
        <v>310436</v>
      </c>
      <c r="E87" s="99">
        <f>F87+G87+H87+O87+N87+P87+Q87+S87+AE87+AS87+BB87+BE87+BG87+BH87</f>
        <v>310436</v>
      </c>
      <c r="F87" s="220">
        <v>248349</v>
      </c>
      <c r="G87" s="100">
        <v>62087</v>
      </c>
      <c r="H87" s="101">
        <f>SUM(I87:M87)</f>
        <v>0</v>
      </c>
      <c r="I87" s="100"/>
      <c r="J87" s="100"/>
      <c r="K87" s="100"/>
      <c r="L87" s="100"/>
      <c r="M87" s="100"/>
      <c r="N87" s="101"/>
      <c r="O87" s="101"/>
      <c r="P87" s="101"/>
      <c r="Q87" s="100"/>
      <c r="R87" s="101">
        <f>T87+U87+W87+Y87+AA87+AB87+AC87</f>
        <v>0</v>
      </c>
      <c r="S87" s="101">
        <f t="shared" si="93"/>
        <v>0</v>
      </c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2"/>
      <c r="AE87" s="101">
        <f>SUM(AF87:AR87)</f>
        <v>0</v>
      </c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1">
        <f>SUM(AT87:AZ87)</f>
        <v>0</v>
      </c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3"/>
    </row>
    <row r="88" spans="1:63" s="170" customFormat="1" ht="15.75" customHeight="1" x14ac:dyDescent="0.2">
      <c r="A88" s="23"/>
      <c r="B88" s="19" t="s">
        <v>132</v>
      </c>
      <c r="C88" s="93" t="s">
        <v>133</v>
      </c>
      <c r="D88" s="99">
        <f>F88+G88+H88+N88+P88+Q88+R88+AE88+AS88+BB88+BF88</f>
        <v>8629303</v>
      </c>
      <c r="E88" s="99">
        <f>F88+G88+H88+O88+N88+P88+Q88+S88+AE88+AS88+BB88+BE88+BG88+BH88</f>
        <v>8371454</v>
      </c>
      <c r="F88" s="220">
        <v>5595251</v>
      </c>
      <c r="G88" s="100">
        <v>1129824</v>
      </c>
      <c r="H88" s="101">
        <f>SUM(I88:M88)</f>
        <v>1567369</v>
      </c>
      <c r="I88" s="100">
        <v>2150</v>
      </c>
      <c r="J88" s="100"/>
      <c r="K88" s="100">
        <v>1559219</v>
      </c>
      <c r="L88" s="100"/>
      <c r="M88" s="100">
        <v>6000</v>
      </c>
      <c r="N88" s="100"/>
      <c r="O88" s="101"/>
      <c r="P88" s="101"/>
      <c r="Q88" s="100">
        <v>1100</v>
      </c>
      <c r="R88" s="101">
        <f>T88+U88+W88+Y88+AA88+AB88+AC88</f>
        <v>259349</v>
      </c>
      <c r="S88" s="101">
        <f t="shared" si="93"/>
        <v>1500</v>
      </c>
      <c r="T88" s="100">
        <v>1500</v>
      </c>
      <c r="U88" s="100">
        <v>191205</v>
      </c>
      <c r="V88" s="100"/>
      <c r="W88" s="100">
        <v>41412</v>
      </c>
      <c r="X88" s="100"/>
      <c r="Y88" s="100">
        <v>25232</v>
      </c>
      <c r="Z88" s="100"/>
      <c r="AA88" s="100"/>
      <c r="AB88" s="100"/>
      <c r="AC88" s="100"/>
      <c r="AD88" s="102"/>
      <c r="AE88" s="101">
        <f>SUM(AF88:AR88)</f>
        <v>68410</v>
      </c>
      <c r="AF88" s="100">
        <v>1000</v>
      </c>
      <c r="AG88" s="100">
        <v>5500</v>
      </c>
      <c r="AH88" s="100"/>
      <c r="AI88" s="100">
        <v>500</v>
      </c>
      <c r="AJ88" s="100"/>
      <c r="AK88" s="100"/>
      <c r="AL88" s="100">
        <v>5000</v>
      </c>
      <c r="AM88" s="100"/>
      <c r="AN88" s="100"/>
      <c r="AO88" s="100">
        <v>36410</v>
      </c>
      <c r="AP88" s="100"/>
      <c r="AQ88" s="100"/>
      <c r="AR88" s="100">
        <v>20000</v>
      </c>
      <c r="AS88" s="101">
        <f>SUM(AT88:AZ88)</f>
        <v>0</v>
      </c>
      <c r="AT88" s="100"/>
      <c r="AU88" s="100"/>
      <c r="AV88" s="100"/>
      <c r="AW88" s="100"/>
      <c r="AX88" s="100"/>
      <c r="AY88" s="100"/>
      <c r="AZ88" s="100"/>
      <c r="BA88" s="100"/>
      <c r="BB88" s="100">
        <v>8000</v>
      </c>
      <c r="BC88" s="100"/>
      <c r="BD88" s="100"/>
      <c r="BE88" s="100"/>
      <c r="BF88" s="100"/>
      <c r="BG88" s="100"/>
      <c r="BH88" s="103"/>
    </row>
    <row r="89" spans="1:63" s="170" customFormat="1" ht="20.25" customHeight="1" x14ac:dyDescent="0.2">
      <c r="A89" s="18" t="s">
        <v>134</v>
      </c>
      <c r="B89" s="19" t="s">
        <v>90</v>
      </c>
      <c r="C89" s="93" t="s">
        <v>135</v>
      </c>
      <c r="D89" s="128">
        <f t="shared" ref="D89:AD89" si="94">SUM(D90:D98)</f>
        <v>14813216</v>
      </c>
      <c r="E89" s="128">
        <f t="shared" si="94"/>
        <v>14559210</v>
      </c>
      <c r="F89" s="104">
        <f t="shared" si="94"/>
        <v>11555065</v>
      </c>
      <c r="G89" s="101">
        <f t="shared" si="94"/>
        <v>2708376</v>
      </c>
      <c r="H89" s="101">
        <f t="shared" si="94"/>
        <v>199997</v>
      </c>
      <c r="I89" s="101">
        <f t="shared" si="94"/>
        <v>0</v>
      </c>
      <c r="J89" s="101">
        <f t="shared" si="94"/>
        <v>0</v>
      </c>
      <c r="K89" s="101">
        <f t="shared" si="94"/>
        <v>61226</v>
      </c>
      <c r="L89" s="101">
        <f t="shared" si="94"/>
        <v>111688</v>
      </c>
      <c r="M89" s="101">
        <f t="shared" si="94"/>
        <v>27083</v>
      </c>
      <c r="N89" s="101">
        <f t="shared" si="94"/>
        <v>1500</v>
      </c>
      <c r="O89" s="101">
        <f t="shared" si="94"/>
        <v>0</v>
      </c>
      <c r="P89" s="101">
        <f t="shared" si="94"/>
        <v>0</v>
      </c>
      <c r="Q89" s="101">
        <f t="shared" si="94"/>
        <v>27350</v>
      </c>
      <c r="R89" s="101">
        <f t="shared" si="94"/>
        <v>275555</v>
      </c>
      <c r="S89" s="101">
        <f t="shared" si="94"/>
        <v>21549</v>
      </c>
      <c r="T89" s="101">
        <f t="shared" si="94"/>
        <v>21549</v>
      </c>
      <c r="U89" s="101">
        <f t="shared" si="94"/>
        <v>182349</v>
      </c>
      <c r="V89" s="101">
        <f t="shared" si="94"/>
        <v>0</v>
      </c>
      <c r="W89" s="101">
        <f t="shared" si="94"/>
        <v>45545</v>
      </c>
      <c r="X89" s="101">
        <f t="shared" si="94"/>
        <v>0</v>
      </c>
      <c r="Y89" s="101">
        <f t="shared" si="94"/>
        <v>13745</v>
      </c>
      <c r="Z89" s="101">
        <f t="shared" si="94"/>
        <v>0</v>
      </c>
      <c r="AA89" s="101">
        <f t="shared" si="94"/>
        <v>0</v>
      </c>
      <c r="AB89" s="101">
        <f t="shared" si="94"/>
        <v>0</v>
      </c>
      <c r="AC89" s="101">
        <f t="shared" si="94"/>
        <v>12367</v>
      </c>
      <c r="AD89" s="101">
        <f t="shared" si="94"/>
        <v>0</v>
      </c>
      <c r="AE89" s="101">
        <f>AF89+AG89+AI89+AJ89+AK89+AL89+AM89+AN89+AP89+AR89</f>
        <v>40027</v>
      </c>
      <c r="AF89" s="101">
        <f t="shared" ref="AF89:AU89" si="95">SUM(AF90:AF98)</f>
        <v>3650</v>
      </c>
      <c r="AG89" s="101">
        <f t="shared" si="95"/>
        <v>5000</v>
      </c>
      <c r="AH89" s="101">
        <f t="shared" si="95"/>
        <v>0</v>
      </c>
      <c r="AI89" s="101">
        <f t="shared" si="95"/>
        <v>0</v>
      </c>
      <c r="AJ89" s="101">
        <f t="shared" si="95"/>
        <v>0</v>
      </c>
      <c r="AK89" s="101">
        <f t="shared" si="95"/>
        <v>0</v>
      </c>
      <c r="AL89" s="101">
        <f t="shared" si="95"/>
        <v>4500</v>
      </c>
      <c r="AM89" s="101">
        <f t="shared" si="95"/>
        <v>0</v>
      </c>
      <c r="AN89" s="101">
        <f t="shared" si="95"/>
        <v>0</v>
      </c>
      <c r="AO89" s="101">
        <f t="shared" si="95"/>
        <v>0</v>
      </c>
      <c r="AP89" s="101">
        <f t="shared" si="95"/>
        <v>0</v>
      </c>
      <c r="AQ89" s="101">
        <f t="shared" ref="AQ89" si="96">SUM(AQ90:AQ98)</f>
        <v>0</v>
      </c>
      <c r="AR89" s="101">
        <f t="shared" si="95"/>
        <v>26877</v>
      </c>
      <c r="AS89" s="101">
        <f t="shared" si="95"/>
        <v>0</v>
      </c>
      <c r="AT89" s="101">
        <f t="shared" si="95"/>
        <v>0</v>
      </c>
      <c r="AU89" s="101">
        <f t="shared" si="95"/>
        <v>0</v>
      </c>
      <c r="AV89" s="101"/>
      <c r="AW89" s="101"/>
      <c r="AX89" s="101"/>
      <c r="AY89" s="101"/>
      <c r="AZ89" s="101"/>
      <c r="BA89" s="101"/>
      <c r="BB89" s="101">
        <f>SUM(BB90:BB98)</f>
        <v>5346</v>
      </c>
      <c r="BC89" s="100"/>
      <c r="BD89" s="100"/>
      <c r="BE89" s="101">
        <f>SUM(BE90:BE98)</f>
        <v>0</v>
      </c>
      <c r="BF89" s="101">
        <f>SUM(BF90:BF98)</f>
        <v>0</v>
      </c>
      <c r="BG89" s="101">
        <f>SUM(BG90:BG98)</f>
        <v>0</v>
      </c>
      <c r="BH89" s="106">
        <f>SUM(BH90:BH98)</f>
        <v>0</v>
      </c>
    </row>
    <row r="90" spans="1:63" s="170" customFormat="1" ht="15.75" customHeight="1" x14ac:dyDescent="0.2">
      <c r="A90" s="23"/>
      <c r="B90" s="19" t="s">
        <v>136</v>
      </c>
      <c r="C90" s="93" t="s">
        <v>317</v>
      </c>
      <c r="D90" s="99">
        <f>F90+G90+H90+N90+P90+Q90+R90+AE90+AS90+BB90+BF90</f>
        <v>61226</v>
      </c>
      <c r="E90" s="99">
        <f>F90+G90+H90+O90+N90+P90+Q90+S90+AE90+AS90+BB90+BE90+BG90+BH90</f>
        <v>61226</v>
      </c>
      <c r="F90" s="220"/>
      <c r="G90" s="100"/>
      <c r="H90" s="101">
        <f>SUM(I90:M90)</f>
        <v>61226</v>
      </c>
      <c r="I90" s="100"/>
      <c r="J90" s="100"/>
      <c r="K90" s="100">
        <v>61226</v>
      </c>
      <c r="L90" s="100"/>
      <c r="M90" s="100"/>
      <c r="N90" s="101"/>
      <c r="O90" s="101"/>
      <c r="P90" s="101"/>
      <c r="Q90" s="100"/>
      <c r="R90" s="101">
        <f t="shared" ref="R90" si="97">T90+U90+W90+Y90+AA90+AB90+AC90</f>
        <v>0</v>
      </c>
      <c r="S90" s="101">
        <f t="shared" ref="S90" si="98">T90+V90+X90+Z90+AA90+AB90+AD90</f>
        <v>0</v>
      </c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1">
        <f>SUM(AF90:AR90)</f>
        <v>0</v>
      </c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1">
        <f t="shared" ref="AS90" si="99">SUM(AT90:AZ90)</f>
        <v>0</v>
      </c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  <c r="BH90" s="103"/>
    </row>
    <row r="91" spans="1:63" s="170" customFormat="1" ht="15.75" customHeight="1" x14ac:dyDescent="0.2">
      <c r="A91" s="23"/>
      <c r="B91" s="19" t="s">
        <v>136</v>
      </c>
      <c r="C91" s="93" t="s">
        <v>31</v>
      </c>
      <c r="D91" s="99">
        <f>F91+G91+H91+N91+P91+Q91+R91+AE91+AS91+BB91+BF91</f>
        <v>3591411</v>
      </c>
      <c r="E91" s="99">
        <f>F91+G91+H91+O91+N91+P91+Q91+S91+AE91+AS91+BB91+BE91+BG91+BH91</f>
        <v>3520066</v>
      </c>
      <c r="F91" s="220">
        <v>2854673</v>
      </c>
      <c r="G91" s="100">
        <v>651418</v>
      </c>
      <c r="H91" s="101">
        <f>SUM(I91:M91)</f>
        <v>2500</v>
      </c>
      <c r="I91" s="100"/>
      <c r="J91" s="100"/>
      <c r="K91" s="100"/>
      <c r="L91" s="100"/>
      <c r="M91" s="100">
        <v>2500</v>
      </c>
      <c r="N91" s="100">
        <v>1500</v>
      </c>
      <c r="O91" s="101"/>
      <c r="P91" s="101"/>
      <c r="Q91" s="100">
        <v>5200</v>
      </c>
      <c r="R91" s="101">
        <f>T91+U91+W91+Y91+AA91+AB91+AC91</f>
        <v>71845</v>
      </c>
      <c r="S91" s="101">
        <f>T91+V91+X91+Z91+AA91+AB91+AD91</f>
        <v>500</v>
      </c>
      <c r="T91" s="100">
        <v>500</v>
      </c>
      <c r="U91" s="100">
        <v>60091</v>
      </c>
      <c r="V91" s="100"/>
      <c r="W91" s="100">
        <v>7569</v>
      </c>
      <c r="X91" s="100"/>
      <c r="Y91" s="100">
        <v>3685</v>
      </c>
      <c r="Z91" s="100"/>
      <c r="AA91" s="100"/>
      <c r="AB91" s="100"/>
      <c r="AC91" s="100"/>
      <c r="AD91" s="100"/>
      <c r="AE91" s="101">
        <f>SUM(AF91:AR91)</f>
        <v>2600</v>
      </c>
      <c r="AF91" s="100">
        <v>100</v>
      </c>
      <c r="AG91" s="100">
        <v>2000</v>
      </c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>
        <v>500</v>
      </c>
      <c r="AS91" s="101">
        <f>SUM(AT91:AZ91)</f>
        <v>0</v>
      </c>
      <c r="AT91" s="100"/>
      <c r="AU91" s="100"/>
      <c r="AV91" s="100"/>
      <c r="AW91" s="100"/>
      <c r="AX91" s="100"/>
      <c r="AY91" s="100"/>
      <c r="AZ91" s="100"/>
      <c r="BA91" s="100"/>
      <c r="BB91" s="100">
        <v>1675</v>
      </c>
      <c r="BC91" s="100"/>
      <c r="BD91" s="100"/>
      <c r="BE91" s="100"/>
      <c r="BF91" s="100"/>
      <c r="BG91" s="100"/>
      <c r="BH91" s="103"/>
    </row>
    <row r="92" spans="1:63" s="170" customFormat="1" ht="15.75" customHeight="1" x14ac:dyDescent="0.2">
      <c r="A92" s="23"/>
      <c r="B92" s="19" t="s">
        <v>136</v>
      </c>
      <c r="C92" s="245" t="s">
        <v>35</v>
      </c>
      <c r="D92" s="99">
        <f>F92+G92+H92+N92+P92+Q92+R92+AE92+AS92+BB92+BF92</f>
        <v>3356424</v>
      </c>
      <c r="E92" s="99">
        <f>F92+G92+H92+O92+N92+P92+Q92+S92+AE92+AS92+BB92+BE92+BG92+BH92</f>
        <v>3300393</v>
      </c>
      <c r="F92" s="220">
        <v>2646900</v>
      </c>
      <c r="G92" s="100">
        <v>643021</v>
      </c>
      <c r="H92" s="101">
        <f>SUM(I92:M92)</f>
        <v>0</v>
      </c>
      <c r="I92" s="100"/>
      <c r="J92" s="100"/>
      <c r="K92" s="100"/>
      <c r="L92" s="100"/>
      <c r="M92" s="100"/>
      <c r="N92" s="101"/>
      <c r="O92" s="101"/>
      <c r="P92" s="101"/>
      <c r="Q92" s="100">
        <v>5200</v>
      </c>
      <c r="R92" s="101">
        <f t="shared" ref="R92:R98" si="100">T92+U92+W92+Y92+AA92+AB92+AC92</f>
        <v>59803</v>
      </c>
      <c r="S92" s="101">
        <f t="shared" ref="S92:S98" si="101">T92+V92+X92+Z92+AA92+AB92+AD92</f>
        <v>3772</v>
      </c>
      <c r="T92" s="247">
        <f>2929+843</f>
        <v>3772</v>
      </c>
      <c r="U92" s="100">
        <v>51257</v>
      </c>
      <c r="V92" s="100"/>
      <c r="W92" s="100">
        <v>3167</v>
      </c>
      <c r="X92" s="100"/>
      <c r="Y92" s="100">
        <v>1607</v>
      </c>
      <c r="Z92" s="100"/>
      <c r="AA92" s="100"/>
      <c r="AB92" s="100"/>
      <c r="AC92" s="100"/>
      <c r="AD92" s="100"/>
      <c r="AE92" s="101">
        <f>SUM(AF92:AR92)</f>
        <v>1500</v>
      </c>
      <c r="AF92" s="100"/>
      <c r="AG92" s="100"/>
      <c r="AH92" s="100"/>
      <c r="AI92" s="100"/>
      <c r="AJ92" s="100"/>
      <c r="AK92" s="100"/>
      <c r="AL92" s="100">
        <v>1500</v>
      </c>
      <c r="AM92" s="100"/>
      <c r="AN92" s="100"/>
      <c r="AO92" s="100"/>
      <c r="AP92" s="100"/>
      <c r="AQ92" s="100"/>
      <c r="AR92" s="100"/>
      <c r="AS92" s="101">
        <f t="shared" ref="AS92:AS98" si="102">SUM(AT92:AZ92)</f>
        <v>0</v>
      </c>
      <c r="AT92" s="100"/>
      <c r="AU92" s="100"/>
      <c r="AV92" s="100"/>
      <c r="AW92" s="100"/>
      <c r="AX92" s="100"/>
      <c r="AY92" s="100"/>
      <c r="AZ92" s="100"/>
      <c r="BA92" s="100"/>
      <c r="BB92" s="100"/>
      <c r="BC92" s="100"/>
      <c r="BD92" s="100"/>
      <c r="BE92" s="100"/>
      <c r="BF92" s="100"/>
      <c r="BG92" s="100"/>
      <c r="BH92" s="103"/>
    </row>
    <row r="93" spans="1:63" s="170" customFormat="1" ht="15.75" customHeight="1" x14ac:dyDescent="0.2">
      <c r="A93" s="23"/>
      <c r="B93" s="19" t="s">
        <v>136</v>
      </c>
      <c r="C93" s="245" t="s">
        <v>36</v>
      </c>
      <c r="D93" s="99">
        <f>F93+G93+H93+N93+P93+Q93+R93+AE93+AS93+BB93+BF93</f>
        <v>1128317</v>
      </c>
      <c r="E93" s="99">
        <f>F93+G93+H93+O93+N93+P93+Q93+S93+AE93+AS93+BB93+BE93+BG93+BH93</f>
        <v>1072292</v>
      </c>
      <c r="F93" s="220">
        <v>860820</v>
      </c>
      <c r="G93" s="100">
        <v>206845</v>
      </c>
      <c r="H93" s="101">
        <f>SUM(I93:M93)</f>
        <v>0</v>
      </c>
      <c r="I93" s="100"/>
      <c r="J93" s="100"/>
      <c r="K93" s="100"/>
      <c r="L93" s="100"/>
      <c r="M93" s="100"/>
      <c r="N93" s="101"/>
      <c r="O93" s="101"/>
      <c r="P93" s="101"/>
      <c r="Q93" s="100">
        <v>850</v>
      </c>
      <c r="R93" s="101">
        <f t="shared" si="100"/>
        <v>58302</v>
      </c>
      <c r="S93" s="101">
        <f t="shared" si="101"/>
        <v>2277</v>
      </c>
      <c r="T93" s="247">
        <f>1185+1092</f>
        <v>2277</v>
      </c>
      <c r="U93" s="100">
        <v>44118</v>
      </c>
      <c r="V93" s="100"/>
      <c r="W93" s="100">
        <v>9150</v>
      </c>
      <c r="X93" s="100"/>
      <c r="Y93" s="100">
        <v>2757</v>
      </c>
      <c r="Z93" s="100"/>
      <c r="AA93" s="100"/>
      <c r="AB93" s="100"/>
      <c r="AC93" s="100"/>
      <c r="AD93" s="100"/>
      <c r="AE93" s="101">
        <f>SUM(AF93:AR93)</f>
        <v>1500</v>
      </c>
      <c r="AF93" s="100"/>
      <c r="AG93" s="100"/>
      <c r="AH93" s="100"/>
      <c r="AI93" s="100"/>
      <c r="AJ93" s="100"/>
      <c r="AK93" s="100"/>
      <c r="AL93" s="100">
        <v>1500</v>
      </c>
      <c r="AM93" s="100"/>
      <c r="AN93" s="100"/>
      <c r="AO93" s="100"/>
      <c r="AP93" s="100"/>
      <c r="AQ93" s="100"/>
      <c r="AR93" s="100"/>
      <c r="AS93" s="101">
        <f t="shared" si="102"/>
        <v>0</v>
      </c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  <c r="BH93" s="103"/>
    </row>
    <row r="94" spans="1:63" s="170" customFormat="1" ht="15.75" customHeight="1" x14ac:dyDescent="0.2">
      <c r="A94" s="23"/>
      <c r="B94" s="19" t="s">
        <v>136</v>
      </c>
      <c r="C94" s="93" t="s">
        <v>32</v>
      </c>
      <c r="D94" s="99">
        <f>F94+G94+H94+N94+P94+Q94+R94+AE94+AS94+BB94+BF94</f>
        <v>1759014</v>
      </c>
      <c r="E94" s="99">
        <f>F94+G94+H94+O94+N94+P94+Q94+S94+AE94+AS94+BB94+BE94+BF94+BG94+BH94</f>
        <v>1737139</v>
      </c>
      <c r="F94" s="220">
        <v>1378360</v>
      </c>
      <c r="G94" s="100">
        <v>321267</v>
      </c>
      <c r="H94" s="101">
        <f t="shared" ref="H94:H96" si="103">SUM(I94:M94)</f>
        <v>9167</v>
      </c>
      <c r="I94" s="100"/>
      <c r="J94" s="100"/>
      <c r="K94" s="100"/>
      <c r="L94" s="100">
        <v>2765</v>
      </c>
      <c r="M94" s="100">
        <v>6402</v>
      </c>
      <c r="N94" s="101"/>
      <c r="O94" s="101"/>
      <c r="P94" s="101"/>
      <c r="Q94" s="100">
        <v>2770</v>
      </c>
      <c r="R94" s="101">
        <f t="shared" si="100"/>
        <v>27875</v>
      </c>
      <c r="S94" s="101">
        <f t="shared" si="101"/>
        <v>6000</v>
      </c>
      <c r="T94" s="100">
        <v>6000</v>
      </c>
      <c r="U94" s="100"/>
      <c r="V94" s="100"/>
      <c r="W94" s="100">
        <v>12416</v>
      </c>
      <c r="X94" s="100"/>
      <c r="Y94" s="100">
        <v>1463</v>
      </c>
      <c r="Z94" s="100"/>
      <c r="AA94" s="100"/>
      <c r="AB94" s="100"/>
      <c r="AC94" s="100">
        <v>7996</v>
      </c>
      <c r="AD94" s="102"/>
      <c r="AE94" s="101">
        <f t="shared" ref="AE94:AE96" si="104">SUM(AF94:AR94)</f>
        <v>17575</v>
      </c>
      <c r="AF94" s="100"/>
      <c r="AG94" s="100"/>
      <c r="AH94" s="100"/>
      <c r="AI94" s="100"/>
      <c r="AJ94" s="100"/>
      <c r="AK94" s="100"/>
      <c r="AL94" s="100">
        <v>450</v>
      </c>
      <c r="AM94" s="100"/>
      <c r="AN94" s="100"/>
      <c r="AO94" s="100"/>
      <c r="AP94" s="100"/>
      <c r="AQ94" s="100"/>
      <c r="AR94" s="100">
        <v>17125</v>
      </c>
      <c r="AS94" s="101">
        <f t="shared" si="102"/>
        <v>0</v>
      </c>
      <c r="AT94" s="100"/>
      <c r="AU94" s="100"/>
      <c r="AV94" s="100"/>
      <c r="AW94" s="100"/>
      <c r="AX94" s="100"/>
      <c r="AY94" s="100"/>
      <c r="AZ94" s="100"/>
      <c r="BA94" s="100"/>
      <c r="BB94" s="100">
        <v>2000</v>
      </c>
      <c r="BC94" s="100"/>
      <c r="BD94" s="100"/>
      <c r="BE94" s="100"/>
      <c r="BF94" s="100"/>
      <c r="BG94" s="100"/>
      <c r="BH94" s="103"/>
    </row>
    <row r="95" spans="1:63" s="170" customFormat="1" ht="15.75" customHeight="1" x14ac:dyDescent="0.2">
      <c r="A95" s="23"/>
      <c r="B95" s="19" t="s">
        <v>136</v>
      </c>
      <c r="C95" s="93" t="s">
        <v>33</v>
      </c>
      <c r="D95" s="99">
        <f>F95+G95+H95+N95+P95+Q95+R95+AE95+AS95+BB95+BF95+BE95</f>
        <v>1981878</v>
      </c>
      <c r="E95" s="99">
        <f>F95+G95+H95+O95+N95+P95+Q95+S95+AE95+AS95+BB95+BE95+BG95+BH95</f>
        <v>1951166</v>
      </c>
      <c r="F95" s="220">
        <v>1549335</v>
      </c>
      <c r="G95" s="100">
        <v>373027</v>
      </c>
      <c r="H95" s="101">
        <f t="shared" si="103"/>
        <v>11037</v>
      </c>
      <c r="I95" s="100"/>
      <c r="J95" s="100"/>
      <c r="K95" s="100"/>
      <c r="L95" s="100"/>
      <c r="M95" s="100">
        <v>11037</v>
      </c>
      <c r="N95" s="101"/>
      <c r="O95" s="101"/>
      <c r="P95" s="101"/>
      <c r="Q95" s="100">
        <v>3280</v>
      </c>
      <c r="R95" s="101">
        <f t="shared" si="100"/>
        <v>36712</v>
      </c>
      <c r="S95" s="101">
        <f t="shared" si="101"/>
        <v>6000</v>
      </c>
      <c r="T95" s="100">
        <v>6000</v>
      </c>
      <c r="U95" s="100">
        <v>12827</v>
      </c>
      <c r="V95" s="100"/>
      <c r="W95" s="100">
        <v>10683</v>
      </c>
      <c r="X95" s="100"/>
      <c r="Y95" s="100">
        <v>2831</v>
      </c>
      <c r="Z95" s="100"/>
      <c r="AA95" s="100"/>
      <c r="AB95" s="100"/>
      <c r="AC95" s="100">
        <v>4371</v>
      </c>
      <c r="AD95" s="102"/>
      <c r="AE95" s="101">
        <f t="shared" si="104"/>
        <v>8487</v>
      </c>
      <c r="AF95" s="100">
        <v>400</v>
      </c>
      <c r="AG95" s="100"/>
      <c r="AH95" s="100"/>
      <c r="AI95" s="100"/>
      <c r="AJ95" s="100"/>
      <c r="AK95" s="100"/>
      <c r="AL95" s="100">
        <v>700</v>
      </c>
      <c r="AM95" s="100"/>
      <c r="AN95" s="100"/>
      <c r="AO95" s="100"/>
      <c r="AP95" s="100"/>
      <c r="AQ95" s="100"/>
      <c r="AR95" s="100">
        <v>7387</v>
      </c>
      <c r="AS95" s="101">
        <f t="shared" si="102"/>
        <v>0</v>
      </c>
      <c r="AT95" s="100"/>
      <c r="AU95" s="100"/>
      <c r="AV95" s="100"/>
      <c r="AW95" s="100"/>
      <c r="AX95" s="100"/>
      <c r="AY95" s="100"/>
      <c r="AZ95" s="100"/>
      <c r="BA95" s="100"/>
      <c r="BB95" s="100"/>
      <c r="BC95" s="100"/>
      <c r="BD95" s="100"/>
      <c r="BE95" s="100"/>
      <c r="BF95" s="100"/>
      <c r="BG95" s="100"/>
      <c r="BH95" s="103"/>
    </row>
    <row r="96" spans="1:63" s="170" customFormat="1" ht="15.75" customHeight="1" x14ac:dyDescent="0.2">
      <c r="A96" s="23"/>
      <c r="B96" s="19" t="s">
        <v>136</v>
      </c>
      <c r="C96" s="93" t="s">
        <v>34</v>
      </c>
      <c r="D96" s="99">
        <f>F96+G96+H96+N96+P96+Q96+R96+AE96+AS96+BB96+BF96</f>
        <v>854042</v>
      </c>
      <c r="E96" s="99">
        <f>F96+G96+H96+O96+N96+P96+Q96+S96+AE96+AS96+BB96+BE96+BG96+BH96</f>
        <v>836024</v>
      </c>
      <c r="F96" s="220">
        <v>668664</v>
      </c>
      <c r="G96" s="100">
        <v>154839</v>
      </c>
      <c r="H96" s="101">
        <f t="shared" si="103"/>
        <v>2021</v>
      </c>
      <c r="I96" s="100"/>
      <c r="J96" s="100"/>
      <c r="K96" s="100"/>
      <c r="L96" s="100"/>
      <c r="M96" s="100">
        <v>2021</v>
      </c>
      <c r="N96" s="101"/>
      <c r="O96" s="101"/>
      <c r="P96" s="101"/>
      <c r="Q96" s="100">
        <v>2750</v>
      </c>
      <c r="R96" s="101">
        <f t="shared" si="100"/>
        <v>21018</v>
      </c>
      <c r="S96" s="101">
        <f t="shared" si="101"/>
        <v>3000</v>
      </c>
      <c r="T96" s="100">
        <v>3000</v>
      </c>
      <c r="U96" s="100">
        <v>14056</v>
      </c>
      <c r="V96" s="100"/>
      <c r="W96" s="100">
        <v>2560</v>
      </c>
      <c r="X96" s="100"/>
      <c r="Y96" s="100">
        <v>1402</v>
      </c>
      <c r="Z96" s="100"/>
      <c r="AA96" s="100"/>
      <c r="AB96" s="100"/>
      <c r="AC96" s="100"/>
      <c r="AD96" s="100"/>
      <c r="AE96" s="101">
        <f t="shared" si="104"/>
        <v>4750</v>
      </c>
      <c r="AF96" s="100">
        <v>200</v>
      </c>
      <c r="AG96" s="100">
        <v>3000</v>
      </c>
      <c r="AH96" s="100"/>
      <c r="AI96" s="100"/>
      <c r="AJ96" s="100"/>
      <c r="AK96" s="100"/>
      <c r="AL96" s="100">
        <v>350</v>
      </c>
      <c r="AM96" s="100"/>
      <c r="AN96" s="100"/>
      <c r="AO96" s="100"/>
      <c r="AP96" s="100"/>
      <c r="AQ96" s="100"/>
      <c r="AR96" s="100">
        <v>1200</v>
      </c>
      <c r="AS96" s="101">
        <f t="shared" si="102"/>
        <v>0</v>
      </c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  <c r="BH96" s="103"/>
    </row>
    <row r="97" spans="1:60" s="170" customFormat="1" ht="16.5" customHeight="1" x14ac:dyDescent="0.2">
      <c r="A97" s="52"/>
      <c r="B97" s="22" t="s">
        <v>137</v>
      </c>
      <c r="C97" s="266" t="s">
        <v>250</v>
      </c>
      <c r="D97" s="99">
        <f>F97+G97+H97+N97+P97+Q97+R97+AE97+AS97+BB97+BF97</f>
        <v>141612</v>
      </c>
      <c r="E97" s="99">
        <f>F97+G97+H97+O97+N97+P97+Q97+S97+AE97+AS97+BB97+BE97+BG97+BH97</f>
        <v>141612</v>
      </c>
      <c r="F97" s="220">
        <v>111400</v>
      </c>
      <c r="G97" s="220">
        <v>26639</v>
      </c>
      <c r="H97" s="101">
        <f>SUM(I97:M97)</f>
        <v>1123</v>
      </c>
      <c r="I97" s="100"/>
      <c r="J97" s="100"/>
      <c r="K97" s="100"/>
      <c r="L97" s="100"/>
      <c r="M97" s="100">
        <v>1123</v>
      </c>
      <c r="N97" s="101"/>
      <c r="O97" s="101"/>
      <c r="P97" s="101"/>
      <c r="Q97" s="100"/>
      <c r="R97" s="101">
        <f t="shared" si="100"/>
        <v>0</v>
      </c>
      <c r="S97" s="101">
        <f t="shared" si="101"/>
        <v>0</v>
      </c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1">
        <f>SUM(AF97:AR97)</f>
        <v>2450</v>
      </c>
      <c r="AF97" s="265">
        <f>200+2250</f>
        <v>2450</v>
      </c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1">
        <f t="shared" si="102"/>
        <v>0</v>
      </c>
      <c r="AT97" s="100"/>
      <c r="AU97" s="100"/>
      <c r="AV97" s="100"/>
      <c r="AW97" s="100"/>
      <c r="AX97" s="100"/>
      <c r="AY97" s="100"/>
      <c r="AZ97" s="100"/>
      <c r="BA97" s="100"/>
      <c r="BB97" s="100"/>
      <c r="BC97" s="100"/>
      <c r="BD97" s="100"/>
      <c r="BE97" s="100"/>
      <c r="BF97" s="100"/>
      <c r="BG97" s="100"/>
      <c r="BH97" s="103"/>
    </row>
    <row r="98" spans="1:60" s="170" customFormat="1" ht="15.75" customHeight="1" x14ac:dyDescent="0.2">
      <c r="A98" s="23"/>
      <c r="B98" s="19" t="s">
        <v>137</v>
      </c>
      <c r="C98" s="93" t="s">
        <v>37</v>
      </c>
      <c r="D98" s="99">
        <f>F98+G98+H98+N98+P98+Q98+R98+AE98+AS98+BB98+BF98</f>
        <v>1939292</v>
      </c>
      <c r="E98" s="99">
        <f>F98+G98+H98+O98+N98+P98+Q98+S98+AE98+AS98+BB98+BE98+BG98+BH98</f>
        <v>1939292</v>
      </c>
      <c r="F98" s="222">
        <v>1484913</v>
      </c>
      <c r="G98" s="222">
        <v>331320</v>
      </c>
      <c r="H98" s="101">
        <f>SUM(I98:M98)</f>
        <v>112923</v>
      </c>
      <c r="I98" s="100"/>
      <c r="J98" s="100"/>
      <c r="K98" s="100"/>
      <c r="L98" s="100">
        <v>108923</v>
      </c>
      <c r="M98" s="100">
        <v>4000</v>
      </c>
      <c r="N98" s="101"/>
      <c r="O98" s="101"/>
      <c r="P98" s="101"/>
      <c r="Q98" s="100">
        <v>7300</v>
      </c>
      <c r="R98" s="101">
        <f t="shared" si="100"/>
        <v>0</v>
      </c>
      <c r="S98" s="101">
        <f t="shared" si="101"/>
        <v>0</v>
      </c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1">
        <f>SUM(AF98:AR98)</f>
        <v>1165</v>
      </c>
      <c r="AF98" s="100">
        <v>500</v>
      </c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>
        <v>665</v>
      </c>
      <c r="AS98" s="101">
        <f t="shared" si="102"/>
        <v>0</v>
      </c>
      <c r="AT98" s="100"/>
      <c r="AU98" s="100"/>
      <c r="AV98" s="100"/>
      <c r="AW98" s="100"/>
      <c r="AX98" s="100"/>
      <c r="AY98" s="100"/>
      <c r="AZ98" s="100"/>
      <c r="BA98" s="100"/>
      <c r="BB98" s="100">
        <v>1671</v>
      </c>
      <c r="BC98" s="100"/>
      <c r="BD98" s="100"/>
      <c r="BE98" s="100"/>
      <c r="BF98" s="100"/>
      <c r="BG98" s="100"/>
      <c r="BH98" s="103"/>
    </row>
    <row r="99" spans="1:60" s="170" customFormat="1" ht="42" customHeight="1" x14ac:dyDescent="0.2">
      <c r="A99" s="18" t="s">
        <v>272</v>
      </c>
      <c r="B99" s="19" t="s">
        <v>90</v>
      </c>
      <c r="C99" s="137" t="s">
        <v>273</v>
      </c>
      <c r="D99" s="128">
        <f t="shared" ref="D99:AD99" si="105">D100+D101+D102</f>
        <v>1272038</v>
      </c>
      <c r="E99" s="128">
        <f t="shared" ref="E99:G99" si="106">E100+E101+E102</f>
        <v>1179994</v>
      </c>
      <c r="F99" s="104">
        <f t="shared" si="106"/>
        <v>928361</v>
      </c>
      <c r="G99" s="101">
        <f t="shared" si="106"/>
        <v>209876</v>
      </c>
      <c r="H99" s="101">
        <f t="shared" si="105"/>
        <v>24187</v>
      </c>
      <c r="I99" s="101">
        <f t="shared" si="105"/>
        <v>0</v>
      </c>
      <c r="J99" s="101">
        <f t="shared" si="105"/>
        <v>0</v>
      </c>
      <c r="K99" s="101">
        <f t="shared" si="105"/>
        <v>0</v>
      </c>
      <c r="L99" s="101">
        <f t="shared" si="105"/>
        <v>20687</v>
      </c>
      <c r="M99" s="101">
        <f t="shared" si="105"/>
        <v>3500</v>
      </c>
      <c r="N99" s="101">
        <f>N100+N101+N102</f>
        <v>1000</v>
      </c>
      <c r="O99" s="101">
        <f t="shared" si="105"/>
        <v>0</v>
      </c>
      <c r="P99" s="101">
        <f t="shared" si="105"/>
        <v>0</v>
      </c>
      <c r="Q99" s="101">
        <f t="shared" si="105"/>
        <v>12960</v>
      </c>
      <c r="R99" s="101">
        <f t="shared" si="105"/>
        <v>92544</v>
      </c>
      <c r="S99" s="101">
        <f>S100+S101+S102</f>
        <v>500</v>
      </c>
      <c r="T99" s="101">
        <f t="shared" si="105"/>
        <v>500</v>
      </c>
      <c r="U99" s="101">
        <f t="shared" si="105"/>
        <v>65429</v>
      </c>
      <c r="V99" s="101">
        <f t="shared" si="105"/>
        <v>0</v>
      </c>
      <c r="W99" s="101">
        <f t="shared" si="105"/>
        <v>23937</v>
      </c>
      <c r="X99" s="101">
        <f t="shared" si="105"/>
        <v>0</v>
      </c>
      <c r="Y99" s="101">
        <f t="shared" si="105"/>
        <v>2678</v>
      </c>
      <c r="Z99" s="101">
        <f t="shared" si="105"/>
        <v>0</v>
      </c>
      <c r="AA99" s="101">
        <f t="shared" si="105"/>
        <v>0</v>
      </c>
      <c r="AB99" s="101">
        <f t="shared" si="105"/>
        <v>0</v>
      </c>
      <c r="AC99" s="101">
        <f t="shared" si="105"/>
        <v>0</v>
      </c>
      <c r="AD99" s="101">
        <f t="shared" si="105"/>
        <v>0</v>
      </c>
      <c r="AE99" s="101">
        <f>AF99+AG99+AI99+AJ99+AK99+AL99+AM99+AN99+AP99+AR99</f>
        <v>1300</v>
      </c>
      <c r="AF99" s="101">
        <f t="shared" ref="AF99" si="107">AF100+AF101+AF102</f>
        <v>500</v>
      </c>
      <c r="AG99" s="101">
        <f t="shared" ref="AG99:AU99" si="108">AG100+AG101+AG102</f>
        <v>0</v>
      </c>
      <c r="AH99" s="101">
        <f t="shared" si="108"/>
        <v>0</v>
      </c>
      <c r="AI99" s="101">
        <f t="shared" si="108"/>
        <v>300</v>
      </c>
      <c r="AJ99" s="101">
        <f t="shared" si="108"/>
        <v>0</v>
      </c>
      <c r="AK99" s="101">
        <f t="shared" si="108"/>
        <v>0</v>
      </c>
      <c r="AL99" s="101">
        <f t="shared" si="108"/>
        <v>0</v>
      </c>
      <c r="AM99" s="101">
        <f t="shared" si="108"/>
        <v>0</v>
      </c>
      <c r="AN99" s="101">
        <f t="shared" si="108"/>
        <v>0</v>
      </c>
      <c r="AO99" s="101">
        <f t="shared" si="108"/>
        <v>0</v>
      </c>
      <c r="AP99" s="101">
        <f t="shared" si="108"/>
        <v>0</v>
      </c>
      <c r="AQ99" s="101">
        <f t="shared" ref="AQ99" si="109">AQ100+AQ101+AQ102</f>
        <v>0</v>
      </c>
      <c r="AR99" s="101">
        <f t="shared" si="108"/>
        <v>500</v>
      </c>
      <c r="AS99" s="101">
        <f t="shared" si="108"/>
        <v>0</v>
      </c>
      <c r="AT99" s="101">
        <f t="shared" si="108"/>
        <v>0</v>
      </c>
      <c r="AU99" s="101">
        <f t="shared" si="108"/>
        <v>0</v>
      </c>
      <c r="AV99" s="101"/>
      <c r="AW99" s="101"/>
      <c r="AX99" s="101"/>
      <c r="AY99" s="101">
        <f>AY100+AY101+AY102</f>
        <v>0</v>
      </c>
      <c r="AZ99" s="101">
        <f>AZ100+AZ101+AZ102</f>
        <v>0</v>
      </c>
      <c r="BA99" s="101"/>
      <c r="BB99" s="101">
        <f>BB100+BB101+BB102</f>
        <v>1810</v>
      </c>
      <c r="BC99" s="101">
        <f t="shared" ref="BC99:BG99" si="110">BC100+BC101+BC102</f>
        <v>0</v>
      </c>
      <c r="BD99" s="101">
        <f t="shared" si="110"/>
        <v>0</v>
      </c>
      <c r="BE99" s="101">
        <f t="shared" si="110"/>
        <v>0</v>
      </c>
      <c r="BF99" s="101">
        <f t="shared" si="110"/>
        <v>0</v>
      </c>
      <c r="BG99" s="101">
        <f t="shared" si="110"/>
        <v>0</v>
      </c>
      <c r="BH99" s="106"/>
    </row>
    <row r="100" spans="1:60" s="170" customFormat="1" ht="16.5" customHeight="1" thickBot="1" x14ac:dyDescent="0.25">
      <c r="A100" s="23"/>
      <c r="B100" s="19" t="s">
        <v>95</v>
      </c>
      <c r="C100" s="93" t="s">
        <v>96</v>
      </c>
      <c r="D100" s="99">
        <f>F100+G100+H100+N100+P100+Q100+R100+AE100+AS100+BB100+BF100+BG100</f>
        <v>1272038</v>
      </c>
      <c r="E100" s="99">
        <f>F100+G100+H100+O100+N100+P100+Q100+S100+AE100+AS100+BB100+BE100+BG100+BH100</f>
        <v>1179994</v>
      </c>
      <c r="F100" s="220">
        <v>928361</v>
      </c>
      <c r="G100" s="100">
        <v>209876</v>
      </c>
      <c r="H100" s="101">
        <f>SUM(I100:M100)</f>
        <v>24187</v>
      </c>
      <c r="I100" s="100"/>
      <c r="J100" s="100"/>
      <c r="K100" s="100"/>
      <c r="L100" s="100">
        <v>20687</v>
      </c>
      <c r="M100" s="100">
        <v>3500</v>
      </c>
      <c r="N100" s="100">
        <v>1000</v>
      </c>
      <c r="O100" s="101"/>
      <c r="P100" s="101"/>
      <c r="Q100" s="100">
        <v>12960</v>
      </c>
      <c r="R100" s="101">
        <f>T100+U100+W100+Y100+AA100+AB100+AC100</f>
        <v>92544</v>
      </c>
      <c r="S100" s="101">
        <f t="shared" ref="S100" si="111">T100+V100+X100+Z100+AA100+AB100+AD100</f>
        <v>500</v>
      </c>
      <c r="T100" s="100">
        <v>500</v>
      </c>
      <c r="U100" s="100">
        <v>65429</v>
      </c>
      <c r="V100" s="100"/>
      <c r="W100" s="100">
        <v>23937</v>
      </c>
      <c r="X100" s="100"/>
      <c r="Y100" s="100">
        <v>2678</v>
      </c>
      <c r="Z100" s="100"/>
      <c r="AA100" s="100"/>
      <c r="AB100" s="100"/>
      <c r="AC100" s="100"/>
      <c r="AD100" s="100"/>
      <c r="AE100" s="101">
        <f>SUM(AF100:AR100)</f>
        <v>1300</v>
      </c>
      <c r="AF100" s="100">
        <v>500</v>
      </c>
      <c r="AG100" s="100"/>
      <c r="AH100" s="100"/>
      <c r="AI100" s="100">
        <v>300</v>
      </c>
      <c r="AJ100" s="100"/>
      <c r="AK100" s="100"/>
      <c r="AL100" s="100"/>
      <c r="AM100" s="100"/>
      <c r="AN100" s="100"/>
      <c r="AO100" s="100"/>
      <c r="AP100" s="100"/>
      <c r="AQ100" s="100"/>
      <c r="AR100" s="100">
        <v>500</v>
      </c>
      <c r="AS100" s="101">
        <f>SUM(AT100:AZ100)</f>
        <v>0</v>
      </c>
      <c r="AT100" s="100"/>
      <c r="AU100" s="100"/>
      <c r="AV100" s="100"/>
      <c r="AW100" s="100"/>
      <c r="AX100" s="100"/>
      <c r="AY100" s="100"/>
      <c r="AZ100" s="100"/>
      <c r="BA100" s="100"/>
      <c r="BB100" s="100">
        <v>1810</v>
      </c>
      <c r="BC100" s="100"/>
      <c r="BD100" s="100"/>
      <c r="BE100" s="100"/>
      <c r="BF100" s="100"/>
      <c r="BG100" s="100">
        <f>210258-210258</f>
        <v>0</v>
      </c>
      <c r="BH100" s="103"/>
    </row>
    <row r="101" spans="1:60" s="170" customFormat="1" ht="16.5" hidden="1" thickBot="1" x14ac:dyDescent="0.25">
      <c r="A101" s="23"/>
      <c r="B101" s="19" t="s">
        <v>95</v>
      </c>
      <c r="C101" s="93" t="s">
        <v>97</v>
      </c>
      <c r="D101" s="99">
        <f>F101+G101+H101+N101+P101+Q101+R101+AE101+AS101+BB101+BF101</f>
        <v>0</v>
      </c>
      <c r="E101" s="99">
        <f>G101+H101+I101+O101+Q101+R101+S101+AF101+AT101+BC101+BG101</f>
        <v>0</v>
      </c>
      <c r="F101" s="220"/>
      <c r="G101" s="100"/>
      <c r="H101" s="101">
        <f>SUM(I101:M101)</f>
        <v>0</v>
      </c>
      <c r="I101" s="100"/>
      <c r="J101" s="100"/>
      <c r="K101" s="100"/>
      <c r="L101" s="100"/>
      <c r="M101" s="100"/>
      <c r="N101" s="101"/>
      <c r="O101" s="101"/>
      <c r="P101" s="101"/>
      <c r="Q101" s="101"/>
      <c r="R101" s="101">
        <f>T101+U101+W101+Y101+AA101+AB101+AC101</f>
        <v>0</v>
      </c>
      <c r="S101" s="101">
        <f t="shared" ref="S101:S102" si="112">V101+X101+Z101+AA101+AB101+AD101</f>
        <v>0</v>
      </c>
      <c r="T101" s="100"/>
      <c r="U101" s="138"/>
      <c r="V101" s="138"/>
      <c r="W101" s="102"/>
      <c r="X101" s="102"/>
      <c r="Y101" s="100"/>
      <c r="Z101" s="100"/>
      <c r="AA101" s="100"/>
      <c r="AB101" s="100"/>
      <c r="AC101" s="100"/>
      <c r="AD101" s="100"/>
      <c r="AE101" s="101">
        <f>SUM(AF101:AR101)</f>
        <v>0</v>
      </c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1">
        <f>SUM(AT101:AZ101)</f>
        <v>0</v>
      </c>
      <c r="AT101" s="100"/>
      <c r="AU101" s="100"/>
      <c r="AV101" s="100"/>
      <c r="AW101" s="100"/>
      <c r="AX101" s="100"/>
      <c r="AY101" s="100"/>
      <c r="AZ101" s="100"/>
      <c r="BA101" s="100"/>
      <c r="BB101" s="100"/>
      <c r="BC101" s="100"/>
      <c r="BD101" s="100"/>
      <c r="BE101" s="100"/>
      <c r="BF101" s="100"/>
      <c r="BG101" s="100"/>
      <c r="BH101" s="103"/>
    </row>
    <row r="102" spans="1:60" s="170" customFormat="1" ht="15.75" hidden="1" customHeight="1" x14ac:dyDescent="0.2">
      <c r="A102" s="23"/>
      <c r="B102" s="19"/>
      <c r="C102" s="93"/>
      <c r="D102" s="99">
        <f>F102+G102+H102+N102+P102+Q102+R102+AE102+AS102+BB102+BF102</f>
        <v>0</v>
      </c>
      <c r="E102" s="99">
        <f>G102+H102+I102+O102+Q102+R102+S102+AF102+AT102+BC102+BG102</f>
        <v>0</v>
      </c>
      <c r="F102" s="220"/>
      <c r="G102" s="100"/>
      <c r="H102" s="101">
        <f>SUM(I102:M102)</f>
        <v>0</v>
      </c>
      <c r="I102" s="100"/>
      <c r="J102" s="100"/>
      <c r="K102" s="100"/>
      <c r="L102" s="100"/>
      <c r="M102" s="100"/>
      <c r="N102" s="101"/>
      <c r="O102" s="101"/>
      <c r="P102" s="101"/>
      <c r="Q102" s="101"/>
      <c r="R102" s="101">
        <f>T102+U102+W102+Y102+AA102+AB102+AC102</f>
        <v>0</v>
      </c>
      <c r="S102" s="101">
        <f t="shared" si="112"/>
        <v>0</v>
      </c>
      <c r="T102" s="100"/>
      <c r="U102" s="102"/>
      <c r="V102" s="102"/>
      <c r="W102" s="100"/>
      <c r="X102" s="100"/>
      <c r="Y102" s="100"/>
      <c r="Z102" s="100"/>
      <c r="AA102" s="100"/>
      <c r="AB102" s="100"/>
      <c r="AC102" s="100"/>
      <c r="AD102" s="100"/>
      <c r="AE102" s="101">
        <f>SUM(AF102:AR102)</f>
        <v>0</v>
      </c>
      <c r="AF102" s="100">
        <f>500-500</f>
        <v>0</v>
      </c>
      <c r="AG102" s="100"/>
      <c r="AH102" s="100"/>
      <c r="AI102" s="100">
        <f>500-500</f>
        <v>0</v>
      </c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1">
        <f>SUM(AT102:AZ102)</f>
        <v>0</v>
      </c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  <c r="BH102" s="103"/>
    </row>
    <row r="103" spans="1:60" s="3" customFormat="1" ht="16.5" hidden="1" customHeight="1" thickBot="1" x14ac:dyDescent="0.25">
      <c r="A103" s="45"/>
      <c r="B103" s="20"/>
      <c r="C103" s="177"/>
      <c r="D103" s="109"/>
      <c r="E103" s="109"/>
      <c r="F103" s="225"/>
      <c r="G103" s="227"/>
      <c r="H103" s="110"/>
      <c r="I103" s="112"/>
      <c r="J103" s="112"/>
      <c r="K103" s="112"/>
      <c r="L103" s="112"/>
      <c r="M103" s="112"/>
      <c r="N103" s="110"/>
      <c r="O103" s="110"/>
      <c r="P103" s="110"/>
      <c r="Q103" s="110"/>
      <c r="R103" s="110"/>
      <c r="S103" s="110"/>
      <c r="T103" s="112"/>
      <c r="U103" s="125"/>
      <c r="V103" s="125"/>
      <c r="W103" s="112"/>
      <c r="X103" s="112"/>
      <c r="Y103" s="112"/>
      <c r="Z103" s="112"/>
      <c r="AA103" s="112"/>
      <c r="AB103" s="112"/>
      <c r="AC103" s="112"/>
      <c r="AD103" s="112"/>
      <c r="AE103" s="110"/>
      <c r="AF103" s="112"/>
      <c r="AG103" s="112"/>
      <c r="AH103" s="112"/>
      <c r="AI103" s="112"/>
      <c r="AJ103" s="112"/>
      <c r="AK103" s="112"/>
      <c r="AL103" s="112"/>
      <c r="AM103" s="112"/>
      <c r="AN103" s="112"/>
      <c r="AO103" s="112"/>
      <c r="AP103" s="112"/>
      <c r="AQ103" s="112"/>
      <c r="AR103" s="112"/>
      <c r="AS103" s="110"/>
      <c r="AT103" s="112"/>
      <c r="AU103" s="112"/>
      <c r="AV103" s="112"/>
      <c r="AW103" s="112"/>
      <c r="AX103" s="112"/>
      <c r="AY103" s="112"/>
      <c r="AZ103" s="112"/>
      <c r="BA103" s="112"/>
      <c r="BB103" s="112"/>
      <c r="BC103" s="112"/>
      <c r="BD103" s="112"/>
      <c r="BE103" s="112"/>
      <c r="BF103" s="112"/>
      <c r="BG103" s="112"/>
      <c r="BH103" s="126"/>
    </row>
    <row r="104" spans="1:60" s="3" customFormat="1" ht="21.75" customHeight="1" thickBot="1" x14ac:dyDescent="0.25">
      <c r="A104" s="28" t="s">
        <v>38</v>
      </c>
      <c r="B104" s="29" t="s">
        <v>90</v>
      </c>
      <c r="C104" s="114" t="s">
        <v>39</v>
      </c>
      <c r="D104" s="115">
        <f t="shared" ref="D104:BH104" si="113">D105+D110+D112+D116</f>
        <v>8384266</v>
      </c>
      <c r="E104" s="115">
        <f t="shared" ref="E104:G104" si="114">E105+E110+E112+E116</f>
        <v>8166455</v>
      </c>
      <c r="F104" s="228">
        <f t="shared" si="114"/>
        <v>6105575</v>
      </c>
      <c r="G104" s="135">
        <f t="shared" si="114"/>
        <v>1439727</v>
      </c>
      <c r="H104" s="135">
        <f t="shared" si="113"/>
        <v>66532</v>
      </c>
      <c r="I104" s="135">
        <f t="shared" si="113"/>
        <v>0</v>
      </c>
      <c r="J104" s="135">
        <f t="shared" si="113"/>
        <v>0</v>
      </c>
      <c r="K104" s="135">
        <f t="shared" si="113"/>
        <v>0</v>
      </c>
      <c r="L104" s="135">
        <f t="shared" si="113"/>
        <v>38323</v>
      </c>
      <c r="M104" s="135">
        <f t="shared" si="113"/>
        <v>28209</v>
      </c>
      <c r="N104" s="135">
        <f t="shared" si="113"/>
        <v>0</v>
      </c>
      <c r="O104" s="135">
        <f t="shared" si="113"/>
        <v>0</v>
      </c>
      <c r="P104" s="135">
        <f t="shared" si="113"/>
        <v>0</v>
      </c>
      <c r="Q104" s="135">
        <f t="shared" si="113"/>
        <v>39600</v>
      </c>
      <c r="R104" s="135">
        <f t="shared" si="113"/>
        <v>252811</v>
      </c>
      <c r="S104" s="135">
        <f t="shared" ref="S104" si="115">S105+S110+S112+S116</f>
        <v>35000</v>
      </c>
      <c r="T104" s="135">
        <f t="shared" si="113"/>
        <v>35000</v>
      </c>
      <c r="U104" s="135">
        <f t="shared" si="113"/>
        <v>158309</v>
      </c>
      <c r="V104" s="135">
        <f t="shared" si="113"/>
        <v>0</v>
      </c>
      <c r="W104" s="135">
        <f t="shared" si="113"/>
        <v>34668</v>
      </c>
      <c r="X104" s="135">
        <f t="shared" si="113"/>
        <v>0</v>
      </c>
      <c r="Y104" s="135">
        <f t="shared" si="113"/>
        <v>5925</v>
      </c>
      <c r="Z104" s="135">
        <f t="shared" si="113"/>
        <v>0</v>
      </c>
      <c r="AA104" s="135">
        <f t="shared" si="113"/>
        <v>0</v>
      </c>
      <c r="AB104" s="135">
        <f t="shared" si="113"/>
        <v>0</v>
      </c>
      <c r="AC104" s="135">
        <f t="shared" si="113"/>
        <v>18909</v>
      </c>
      <c r="AD104" s="135">
        <f t="shared" si="113"/>
        <v>0</v>
      </c>
      <c r="AE104" s="135">
        <f t="shared" si="113"/>
        <v>476821</v>
      </c>
      <c r="AF104" s="135">
        <f t="shared" si="113"/>
        <v>6600</v>
      </c>
      <c r="AG104" s="135">
        <f t="shared" si="113"/>
        <v>5000</v>
      </c>
      <c r="AH104" s="135">
        <f t="shared" si="113"/>
        <v>0</v>
      </c>
      <c r="AI104" s="135">
        <f t="shared" si="113"/>
        <v>26665</v>
      </c>
      <c r="AJ104" s="135">
        <f t="shared" si="113"/>
        <v>0</v>
      </c>
      <c r="AK104" s="135">
        <f t="shared" si="113"/>
        <v>0</v>
      </c>
      <c r="AL104" s="135">
        <f t="shared" si="113"/>
        <v>900</v>
      </c>
      <c r="AM104" s="135">
        <f t="shared" si="113"/>
        <v>0</v>
      </c>
      <c r="AN104" s="135">
        <f t="shared" si="113"/>
        <v>0</v>
      </c>
      <c r="AO104" s="135">
        <f t="shared" si="113"/>
        <v>0</v>
      </c>
      <c r="AP104" s="135">
        <f t="shared" si="113"/>
        <v>0</v>
      </c>
      <c r="AQ104" s="135">
        <f t="shared" ref="AQ104" si="116">AQ105+AQ110+AQ112+AQ116</f>
        <v>0</v>
      </c>
      <c r="AR104" s="135">
        <f t="shared" si="113"/>
        <v>437656</v>
      </c>
      <c r="AS104" s="135">
        <f t="shared" si="113"/>
        <v>0</v>
      </c>
      <c r="AT104" s="135">
        <f t="shared" si="113"/>
        <v>0</v>
      </c>
      <c r="AU104" s="135">
        <f t="shared" si="113"/>
        <v>0</v>
      </c>
      <c r="AV104" s="135">
        <f t="shared" si="113"/>
        <v>0</v>
      </c>
      <c r="AW104" s="135">
        <f>AW105+AW110+AW112+AW116</f>
        <v>0</v>
      </c>
      <c r="AX104" s="135">
        <f t="shared" si="113"/>
        <v>0</v>
      </c>
      <c r="AY104" s="135">
        <f t="shared" ref="AY104" si="117">AY105+AY110+AY112+AY116</f>
        <v>0</v>
      </c>
      <c r="AZ104" s="135">
        <f t="shared" si="113"/>
        <v>0</v>
      </c>
      <c r="BA104" s="135">
        <f t="shared" si="113"/>
        <v>0</v>
      </c>
      <c r="BB104" s="135">
        <f t="shared" si="113"/>
        <v>3200</v>
      </c>
      <c r="BC104" s="135">
        <f t="shared" si="113"/>
        <v>0</v>
      </c>
      <c r="BD104" s="135">
        <f t="shared" si="113"/>
        <v>0</v>
      </c>
      <c r="BE104" s="135">
        <f t="shared" si="113"/>
        <v>0</v>
      </c>
      <c r="BF104" s="135">
        <f t="shared" si="113"/>
        <v>0</v>
      </c>
      <c r="BG104" s="135">
        <f t="shared" si="113"/>
        <v>0</v>
      </c>
      <c r="BH104" s="136">
        <f t="shared" si="113"/>
        <v>0</v>
      </c>
    </row>
    <row r="105" spans="1:60" s="170" customFormat="1" ht="17.25" customHeight="1" x14ac:dyDescent="0.2">
      <c r="A105" s="18" t="s">
        <v>139</v>
      </c>
      <c r="B105" s="19" t="s">
        <v>90</v>
      </c>
      <c r="C105" s="93" t="s">
        <v>40</v>
      </c>
      <c r="D105" s="169">
        <f>SUM(D106:D109)</f>
        <v>7104596</v>
      </c>
      <c r="E105" s="169">
        <f>SUM(E106:E109)</f>
        <v>6886785</v>
      </c>
      <c r="F105" s="229">
        <f t="shared" ref="F105:G105" si="118">SUM(F106:F109)</f>
        <v>5316719</v>
      </c>
      <c r="G105" s="174">
        <f t="shared" si="118"/>
        <v>1251839</v>
      </c>
      <c r="H105" s="174">
        <f t="shared" ref="H105:BH105" si="119">SUM(H106:H109)</f>
        <v>25671</v>
      </c>
      <c r="I105" s="174">
        <f t="shared" si="119"/>
        <v>0</v>
      </c>
      <c r="J105" s="174">
        <f t="shared" si="119"/>
        <v>0</v>
      </c>
      <c r="K105" s="174">
        <f t="shared" si="119"/>
        <v>0</v>
      </c>
      <c r="L105" s="174">
        <f t="shared" si="119"/>
        <v>0</v>
      </c>
      <c r="M105" s="174">
        <f t="shared" si="119"/>
        <v>25671</v>
      </c>
      <c r="N105" s="174">
        <f t="shared" si="119"/>
        <v>0</v>
      </c>
      <c r="O105" s="174">
        <f t="shared" si="119"/>
        <v>0</v>
      </c>
      <c r="P105" s="174">
        <f t="shared" si="119"/>
        <v>0</v>
      </c>
      <c r="Q105" s="174">
        <f t="shared" si="119"/>
        <v>28300</v>
      </c>
      <c r="R105" s="174">
        <f t="shared" si="119"/>
        <v>252811</v>
      </c>
      <c r="S105" s="174">
        <f t="shared" ref="S105" si="120">SUM(S106:S109)</f>
        <v>35000</v>
      </c>
      <c r="T105" s="174">
        <f t="shared" si="119"/>
        <v>35000</v>
      </c>
      <c r="U105" s="174">
        <f t="shared" si="119"/>
        <v>158309</v>
      </c>
      <c r="V105" s="174">
        <f t="shared" si="119"/>
        <v>0</v>
      </c>
      <c r="W105" s="174">
        <f t="shared" si="119"/>
        <v>34668</v>
      </c>
      <c r="X105" s="174">
        <f t="shared" si="119"/>
        <v>0</v>
      </c>
      <c r="Y105" s="174">
        <f t="shared" si="119"/>
        <v>5925</v>
      </c>
      <c r="Z105" s="174">
        <f t="shared" si="119"/>
        <v>0</v>
      </c>
      <c r="AA105" s="174">
        <f t="shared" si="119"/>
        <v>0</v>
      </c>
      <c r="AB105" s="174">
        <f t="shared" si="119"/>
        <v>0</v>
      </c>
      <c r="AC105" s="174">
        <f t="shared" si="119"/>
        <v>18909</v>
      </c>
      <c r="AD105" s="174">
        <f t="shared" si="119"/>
        <v>0</v>
      </c>
      <c r="AE105" s="174">
        <f t="shared" si="119"/>
        <v>229256</v>
      </c>
      <c r="AF105" s="174">
        <f t="shared" si="119"/>
        <v>6400</v>
      </c>
      <c r="AG105" s="174">
        <f t="shared" si="119"/>
        <v>5000</v>
      </c>
      <c r="AH105" s="174">
        <f t="shared" si="119"/>
        <v>0</v>
      </c>
      <c r="AI105" s="174">
        <f t="shared" si="119"/>
        <v>26000</v>
      </c>
      <c r="AJ105" s="174">
        <f t="shared" si="119"/>
        <v>0</v>
      </c>
      <c r="AK105" s="174">
        <f t="shared" si="119"/>
        <v>0</v>
      </c>
      <c r="AL105" s="174">
        <f t="shared" si="119"/>
        <v>300</v>
      </c>
      <c r="AM105" s="174">
        <f t="shared" si="119"/>
        <v>0</v>
      </c>
      <c r="AN105" s="174">
        <f t="shared" si="119"/>
        <v>0</v>
      </c>
      <c r="AO105" s="174">
        <f t="shared" si="119"/>
        <v>0</v>
      </c>
      <c r="AP105" s="174">
        <f t="shared" si="119"/>
        <v>0</v>
      </c>
      <c r="AQ105" s="174">
        <f t="shared" ref="AQ105" si="121">SUM(AQ106:AQ109)</f>
        <v>0</v>
      </c>
      <c r="AR105" s="174">
        <f t="shared" si="119"/>
        <v>191556</v>
      </c>
      <c r="AS105" s="174">
        <f t="shared" si="119"/>
        <v>0</v>
      </c>
      <c r="AT105" s="174">
        <f t="shared" si="119"/>
        <v>0</v>
      </c>
      <c r="AU105" s="174">
        <f t="shared" si="119"/>
        <v>0</v>
      </c>
      <c r="AV105" s="174">
        <f t="shared" si="119"/>
        <v>0</v>
      </c>
      <c r="AW105" s="174">
        <f>SUM(AW106:AW109)</f>
        <v>0</v>
      </c>
      <c r="AX105" s="174">
        <f t="shared" si="119"/>
        <v>0</v>
      </c>
      <c r="AY105" s="174">
        <f t="shared" ref="AY105" si="122">SUM(AY106:AY109)</f>
        <v>0</v>
      </c>
      <c r="AZ105" s="174">
        <f t="shared" si="119"/>
        <v>0</v>
      </c>
      <c r="BA105" s="174">
        <f t="shared" si="119"/>
        <v>0</v>
      </c>
      <c r="BB105" s="174">
        <f t="shared" si="119"/>
        <v>0</v>
      </c>
      <c r="BC105" s="174">
        <f t="shared" si="119"/>
        <v>0</v>
      </c>
      <c r="BD105" s="174">
        <f t="shared" si="119"/>
        <v>0</v>
      </c>
      <c r="BE105" s="174">
        <f t="shared" si="119"/>
        <v>0</v>
      </c>
      <c r="BF105" s="174">
        <f t="shared" si="119"/>
        <v>0</v>
      </c>
      <c r="BG105" s="174">
        <f t="shared" si="119"/>
        <v>0</v>
      </c>
      <c r="BH105" s="206">
        <f t="shared" si="119"/>
        <v>0</v>
      </c>
    </row>
    <row r="106" spans="1:60" s="170" customFormat="1" ht="15.75" customHeight="1" x14ac:dyDescent="0.2">
      <c r="A106" s="23"/>
      <c r="B106" s="19" t="s">
        <v>142</v>
      </c>
      <c r="C106" s="245" t="s">
        <v>43</v>
      </c>
      <c r="D106" s="99">
        <f>F106+G106+H106+N106+P106+Q106+R106+AE106+AS106+BB106+BF106</f>
        <v>4637396</v>
      </c>
      <c r="E106" s="99">
        <f>F106+G106+H106+O106+N106+P106+Q106+S106+AE106+AS106+BB106+BE106+BG106+BH106</f>
        <v>4492123</v>
      </c>
      <c r="F106" s="220">
        <v>3409032</v>
      </c>
      <c r="G106" s="100">
        <v>805222</v>
      </c>
      <c r="H106" s="101">
        <f>SUM(I106:M106)</f>
        <v>17671</v>
      </c>
      <c r="I106" s="100"/>
      <c r="J106" s="100"/>
      <c r="K106" s="100"/>
      <c r="L106" s="100"/>
      <c r="M106" s="100">
        <v>17671</v>
      </c>
      <c r="N106" s="101"/>
      <c r="O106" s="101"/>
      <c r="P106" s="101"/>
      <c r="Q106" s="100">
        <v>25000</v>
      </c>
      <c r="R106" s="101">
        <f>T106+U106+W106+Y106+AA106+AB106+AC106</f>
        <v>180273</v>
      </c>
      <c r="S106" s="101">
        <f t="shared" ref="S106:S109" si="123">T106+V106+X106+Z106+AA106+AB106+AD106</f>
        <v>35000</v>
      </c>
      <c r="T106" s="100">
        <v>35000</v>
      </c>
      <c r="U106" s="100">
        <v>96683</v>
      </c>
      <c r="V106" s="100"/>
      <c r="W106" s="100">
        <v>25820</v>
      </c>
      <c r="X106" s="100"/>
      <c r="Y106" s="100">
        <v>3861</v>
      </c>
      <c r="Z106" s="100"/>
      <c r="AA106" s="100"/>
      <c r="AB106" s="100"/>
      <c r="AC106" s="100">
        <v>18909</v>
      </c>
      <c r="AD106" s="102"/>
      <c r="AE106" s="101">
        <f>SUM(AF106:AR106)</f>
        <v>200198</v>
      </c>
      <c r="AF106" s="100">
        <v>5400</v>
      </c>
      <c r="AG106" s="100">
        <v>5000</v>
      </c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247">
        <f>156798+33000</f>
        <v>189798</v>
      </c>
      <c r="AS106" s="101">
        <f>SUM(AT106:AZ106)</f>
        <v>0</v>
      </c>
      <c r="AT106" s="100"/>
      <c r="AU106" s="100"/>
      <c r="AV106" s="100"/>
      <c r="AW106" s="100"/>
      <c r="AX106" s="100"/>
      <c r="AY106" s="100"/>
      <c r="AZ106" s="100"/>
      <c r="BA106" s="100"/>
      <c r="BB106" s="100"/>
      <c r="BC106" s="100"/>
      <c r="BD106" s="100"/>
      <c r="BE106" s="100"/>
      <c r="BF106" s="100"/>
      <c r="BG106" s="100"/>
      <c r="BH106" s="103"/>
    </row>
    <row r="107" spans="1:60" s="170" customFormat="1" ht="15.75" customHeight="1" x14ac:dyDescent="0.2">
      <c r="A107" s="23"/>
      <c r="B107" s="19" t="s">
        <v>143</v>
      </c>
      <c r="C107" s="93" t="s">
        <v>44</v>
      </c>
      <c r="D107" s="99">
        <f>F107+G107+H107+N107+P107+Q107+R107+AE107+AS107+BB107+BF107</f>
        <v>868579</v>
      </c>
      <c r="E107" s="99">
        <f>F107+G107+H107+O107+N107+P107+Q107+S107+AE107+AS107+BB107+BE107+BG107+BH107</f>
        <v>868579</v>
      </c>
      <c r="F107" s="220">
        <v>702667</v>
      </c>
      <c r="G107" s="100">
        <v>165912</v>
      </c>
      <c r="H107" s="101">
        <f>SUM(I107:M107)</f>
        <v>0</v>
      </c>
      <c r="I107" s="100"/>
      <c r="J107" s="100"/>
      <c r="K107" s="100"/>
      <c r="L107" s="100"/>
      <c r="M107" s="100"/>
      <c r="N107" s="101"/>
      <c r="O107" s="101"/>
      <c r="P107" s="101"/>
      <c r="Q107" s="100"/>
      <c r="R107" s="101">
        <f>T107+U107+W107+Y107+AA107+AB107+AC107</f>
        <v>0</v>
      </c>
      <c r="S107" s="101">
        <f t="shared" si="123"/>
        <v>0</v>
      </c>
      <c r="T107" s="100"/>
      <c r="U107" s="100"/>
      <c r="V107" s="100"/>
      <c r="W107" s="100"/>
      <c r="X107" s="100"/>
      <c r="Y107" s="100"/>
      <c r="Z107" s="100"/>
      <c r="AA107" s="100"/>
      <c r="AB107" s="100"/>
      <c r="AC107" s="100"/>
      <c r="AD107" s="102"/>
      <c r="AE107" s="101">
        <f>SUM(AF107:AR107)</f>
        <v>0</v>
      </c>
      <c r="AF107" s="100"/>
      <c r="AG107" s="100"/>
      <c r="AH107" s="100"/>
      <c r="AI107" s="100"/>
      <c r="AJ107" s="100"/>
      <c r="AK107" s="100"/>
      <c r="AL107" s="100"/>
      <c r="AM107" s="100"/>
      <c r="AN107" s="100"/>
      <c r="AO107" s="100"/>
      <c r="AP107" s="100"/>
      <c r="AQ107" s="100"/>
      <c r="AR107" s="100"/>
      <c r="AS107" s="101">
        <f>SUM(AT107:AZ107)</f>
        <v>0</v>
      </c>
      <c r="AT107" s="100"/>
      <c r="AU107" s="100"/>
      <c r="AV107" s="100"/>
      <c r="AW107" s="100"/>
      <c r="AX107" s="100"/>
      <c r="AY107" s="100"/>
      <c r="AZ107" s="100"/>
      <c r="BA107" s="100"/>
      <c r="BB107" s="100"/>
      <c r="BC107" s="100"/>
      <c r="BD107" s="100"/>
      <c r="BE107" s="100"/>
      <c r="BF107" s="100"/>
      <c r="BG107" s="100"/>
      <c r="BH107" s="103"/>
    </row>
    <row r="108" spans="1:60" s="170" customFormat="1" ht="15.75" customHeight="1" x14ac:dyDescent="0.2">
      <c r="A108" s="23"/>
      <c r="B108" s="19" t="s">
        <v>141</v>
      </c>
      <c r="C108" s="93" t="s">
        <v>42</v>
      </c>
      <c r="D108" s="99">
        <f>F108+G108+H108+N108+P108+Q108+R108+AE108+AS108+BB108+BF108</f>
        <v>653218</v>
      </c>
      <c r="E108" s="99">
        <f>F108+G108+H108+O108+N108+P108+Q108+S108+AE108+AS108+BB108+BE108+BG108+BH108</f>
        <v>600567</v>
      </c>
      <c r="F108" s="220">
        <v>477302</v>
      </c>
      <c r="G108" s="100">
        <v>111393</v>
      </c>
      <c r="H108" s="101">
        <f>SUM(I108:M108)</f>
        <v>8000</v>
      </c>
      <c r="I108" s="100"/>
      <c r="J108" s="100"/>
      <c r="K108" s="100"/>
      <c r="L108" s="100"/>
      <c r="M108" s="100">
        <v>8000</v>
      </c>
      <c r="N108" s="100"/>
      <c r="O108" s="101"/>
      <c r="P108" s="101"/>
      <c r="Q108" s="100">
        <v>1400</v>
      </c>
      <c r="R108" s="101">
        <f>T108+U108+W108+Y108+AA108+AB108+AC108</f>
        <v>52651</v>
      </c>
      <c r="S108" s="101">
        <f t="shared" si="123"/>
        <v>0</v>
      </c>
      <c r="T108" s="100"/>
      <c r="U108" s="100">
        <v>42581</v>
      </c>
      <c r="V108" s="100"/>
      <c r="W108" s="100">
        <v>8432</v>
      </c>
      <c r="X108" s="100"/>
      <c r="Y108" s="100">
        <v>1638</v>
      </c>
      <c r="Z108" s="100"/>
      <c r="AA108" s="100"/>
      <c r="AB108" s="100"/>
      <c r="AC108" s="100"/>
      <c r="AD108" s="100"/>
      <c r="AE108" s="101">
        <f>SUM(AF108:AR108)</f>
        <v>2472</v>
      </c>
      <c r="AF108" s="100">
        <v>1000</v>
      </c>
      <c r="AG108" s="100"/>
      <c r="AH108" s="100"/>
      <c r="AI108" s="100"/>
      <c r="AJ108" s="100"/>
      <c r="AK108" s="100"/>
      <c r="AL108" s="100">
        <v>300</v>
      </c>
      <c r="AM108" s="100"/>
      <c r="AN108" s="100"/>
      <c r="AO108" s="100"/>
      <c r="AP108" s="100"/>
      <c r="AQ108" s="100"/>
      <c r="AR108" s="100">
        <v>1172</v>
      </c>
      <c r="AS108" s="101">
        <f>SUM(AT108:AZ108)</f>
        <v>0</v>
      </c>
      <c r="AT108" s="100"/>
      <c r="AU108" s="100"/>
      <c r="AV108" s="100"/>
      <c r="AW108" s="100"/>
      <c r="AX108" s="100"/>
      <c r="AY108" s="100"/>
      <c r="AZ108" s="100"/>
      <c r="BA108" s="100"/>
      <c r="BB108" s="100"/>
      <c r="BC108" s="100"/>
      <c r="BD108" s="100"/>
      <c r="BE108" s="100"/>
      <c r="BF108" s="100"/>
      <c r="BG108" s="100"/>
      <c r="BH108" s="103"/>
    </row>
    <row r="109" spans="1:60" s="170" customFormat="1" ht="15.75" customHeight="1" x14ac:dyDescent="0.2">
      <c r="A109" s="23"/>
      <c r="B109" s="19" t="s">
        <v>140</v>
      </c>
      <c r="C109" s="93" t="s">
        <v>41</v>
      </c>
      <c r="D109" s="99">
        <f>F109+G109+H109+N109+P109+Q109+R109+AE109+AS109+BB109+BF109</f>
        <v>945403</v>
      </c>
      <c r="E109" s="99">
        <f>F109+G109+H109+O109+N109+P109+Q109+S109+AE109+AS109+BB109+BE109+BG109+BH109</f>
        <v>925516</v>
      </c>
      <c r="F109" s="220">
        <v>727718</v>
      </c>
      <c r="G109" s="100">
        <v>169312</v>
      </c>
      <c r="H109" s="101">
        <f>SUM(I109:M109)</f>
        <v>0</v>
      </c>
      <c r="I109" s="100"/>
      <c r="J109" s="100"/>
      <c r="K109" s="100"/>
      <c r="L109" s="100"/>
      <c r="M109" s="100"/>
      <c r="N109" s="100"/>
      <c r="O109" s="101"/>
      <c r="P109" s="101"/>
      <c r="Q109" s="100">
        <v>1900</v>
      </c>
      <c r="R109" s="101">
        <f>T109+U109+W109+Y109+AA109+AB109+AC109</f>
        <v>19887</v>
      </c>
      <c r="S109" s="101">
        <f t="shared" si="123"/>
        <v>0</v>
      </c>
      <c r="T109" s="100"/>
      <c r="U109" s="100">
        <v>19045</v>
      </c>
      <c r="V109" s="100"/>
      <c r="W109" s="100">
        <v>416</v>
      </c>
      <c r="X109" s="100"/>
      <c r="Y109" s="100">
        <v>426</v>
      </c>
      <c r="Z109" s="100"/>
      <c r="AA109" s="100"/>
      <c r="AB109" s="100"/>
      <c r="AC109" s="100"/>
      <c r="AD109" s="100"/>
      <c r="AE109" s="101">
        <f>SUM(AF109:AR109)</f>
        <v>26586</v>
      </c>
      <c r="AF109" s="100"/>
      <c r="AG109" s="100"/>
      <c r="AH109" s="100"/>
      <c r="AI109" s="100">
        <v>26000</v>
      </c>
      <c r="AJ109" s="100"/>
      <c r="AK109" s="100"/>
      <c r="AL109" s="100"/>
      <c r="AM109" s="100"/>
      <c r="AN109" s="100"/>
      <c r="AO109" s="100"/>
      <c r="AP109" s="100"/>
      <c r="AQ109" s="100"/>
      <c r="AR109" s="100">
        <v>586</v>
      </c>
      <c r="AS109" s="101">
        <f>SUM(AT109:AZ109)</f>
        <v>0</v>
      </c>
      <c r="AT109" s="100"/>
      <c r="AU109" s="100"/>
      <c r="AV109" s="100"/>
      <c r="AW109" s="100"/>
      <c r="AX109" s="100"/>
      <c r="AY109" s="100"/>
      <c r="AZ109" s="100"/>
      <c r="BA109" s="100"/>
      <c r="BB109" s="100"/>
      <c r="BC109" s="100"/>
      <c r="BD109" s="100"/>
      <c r="BE109" s="100"/>
      <c r="BF109" s="100"/>
      <c r="BG109" s="100"/>
      <c r="BH109" s="103"/>
    </row>
    <row r="110" spans="1:60" s="170" customFormat="1" ht="15.75" x14ac:dyDescent="0.2">
      <c r="A110" s="18" t="s">
        <v>144</v>
      </c>
      <c r="B110" s="19" t="s">
        <v>90</v>
      </c>
      <c r="C110" s="93" t="s">
        <v>45</v>
      </c>
      <c r="D110" s="128">
        <f>D111</f>
        <v>246000</v>
      </c>
      <c r="E110" s="128">
        <f>E111</f>
        <v>246000</v>
      </c>
      <c r="F110" s="104">
        <f t="shared" ref="F110:G110" si="124">F111</f>
        <v>0</v>
      </c>
      <c r="G110" s="101">
        <f t="shared" si="124"/>
        <v>0</v>
      </c>
      <c r="H110" s="101">
        <f t="shared" ref="H110:AD110" si="125">H111</f>
        <v>0</v>
      </c>
      <c r="I110" s="101">
        <f t="shared" si="125"/>
        <v>0</v>
      </c>
      <c r="J110" s="101">
        <f t="shared" si="125"/>
        <v>0</v>
      </c>
      <c r="K110" s="101">
        <f t="shared" si="125"/>
        <v>0</v>
      </c>
      <c r="L110" s="101">
        <f t="shared" si="125"/>
        <v>0</v>
      </c>
      <c r="M110" s="101">
        <f t="shared" si="125"/>
        <v>0</v>
      </c>
      <c r="N110" s="101">
        <f t="shared" si="125"/>
        <v>0</v>
      </c>
      <c r="O110" s="101">
        <f t="shared" si="125"/>
        <v>0</v>
      </c>
      <c r="P110" s="101">
        <f t="shared" si="125"/>
        <v>0</v>
      </c>
      <c r="Q110" s="101">
        <f t="shared" si="125"/>
        <v>0</v>
      </c>
      <c r="R110" s="101">
        <f t="shared" si="125"/>
        <v>0</v>
      </c>
      <c r="S110" s="101">
        <f t="shared" si="125"/>
        <v>0</v>
      </c>
      <c r="T110" s="101">
        <f t="shared" si="125"/>
        <v>0</v>
      </c>
      <c r="U110" s="101">
        <f t="shared" si="125"/>
        <v>0</v>
      </c>
      <c r="V110" s="101">
        <f t="shared" si="125"/>
        <v>0</v>
      </c>
      <c r="W110" s="101">
        <f t="shared" si="125"/>
        <v>0</v>
      </c>
      <c r="X110" s="101">
        <f t="shared" si="125"/>
        <v>0</v>
      </c>
      <c r="Y110" s="101">
        <f t="shared" si="125"/>
        <v>0</v>
      </c>
      <c r="Z110" s="101">
        <f t="shared" si="125"/>
        <v>0</v>
      </c>
      <c r="AA110" s="101">
        <f t="shared" si="125"/>
        <v>0</v>
      </c>
      <c r="AB110" s="101">
        <f t="shared" si="125"/>
        <v>0</v>
      </c>
      <c r="AC110" s="101">
        <f t="shared" si="125"/>
        <v>0</v>
      </c>
      <c r="AD110" s="101">
        <f t="shared" si="125"/>
        <v>0</v>
      </c>
      <c r="AE110" s="101">
        <f>AF110+AG110+AI110+AJ110+AK110+AL110+AM110+AN110+AP110+AR110</f>
        <v>246000</v>
      </c>
      <c r="AF110" s="101">
        <f t="shared" ref="AF110" si="126">AF111</f>
        <v>0</v>
      </c>
      <c r="AG110" s="101">
        <f t="shared" ref="AG110:AU110" si="127">AG111</f>
        <v>0</v>
      </c>
      <c r="AH110" s="101">
        <f t="shared" si="127"/>
        <v>0</v>
      </c>
      <c r="AI110" s="101">
        <f t="shared" si="127"/>
        <v>0</v>
      </c>
      <c r="AJ110" s="101">
        <f t="shared" si="127"/>
        <v>0</v>
      </c>
      <c r="AK110" s="101">
        <f t="shared" si="127"/>
        <v>0</v>
      </c>
      <c r="AL110" s="101">
        <f t="shared" si="127"/>
        <v>0</v>
      </c>
      <c r="AM110" s="101">
        <f t="shared" si="127"/>
        <v>0</v>
      </c>
      <c r="AN110" s="101">
        <f t="shared" si="127"/>
        <v>0</v>
      </c>
      <c r="AO110" s="101">
        <f t="shared" si="127"/>
        <v>0</v>
      </c>
      <c r="AP110" s="101">
        <f t="shared" si="127"/>
        <v>0</v>
      </c>
      <c r="AQ110" s="101">
        <f t="shared" si="127"/>
        <v>0</v>
      </c>
      <c r="AR110" s="101">
        <f t="shared" si="127"/>
        <v>246000</v>
      </c>
      <c r="AS110" s="101">
        <f t="shared" si="127"/>
        <v>0</v>
      </c>
      <c r="AT110" s="101">
        <f t="shared" si="127"/>
        <v>0</v>
      </c>
      <c r="AU110" s="101">
        <f t="shared" si="127"/>
        <v>0</v>
      </c>
      <c r="AV110" s="101"/>
      <c r="AW110" s="101"/>
      <c r="AX110" s="101"/>
      <c r="AY110" s="101">
        <f>AY111</f>
        <v>0</v>
      </c>
      <c r="AZ110" s="101">
        <f>AZ111</f>
        <v>0</v>
      </c>
      <c r="BA110" s="101"/>
      <c r="BB110" s="101">
        <f>BB111</f>
        <v>0</v>
      </c>
      <c r="BC110" s="100"/>
      <c r="BD110" s="100"/>
      <c r="BE110" s="101"/>
      <c r="BF110" s="101"/>
      <c r="BG110" s="101"/>
      <c r="BH110" s="106"/>
    </row>
    <row r="111" spans="1:60" s="170" customFormat="1" ht="15.75" customHeight="1" x14ac:dyDescent="0.2">
      <c r="A111" s="23"/>
      <c r="B111" s="19" t="s">
        <v>145</v>
      </c>
      <c r="C111" s="93" t="s">
        <v>46</v>
      </c>
      <c r="D111" s="99">
        <f>F111+G111+H111+N111+P111+Q111+R111+AE111+AS111+BB111</f>
        <v>246000</v>
      </c>
      <c r="E111" s="99">
        <f>F111+G111+H111+O111+N111+P111+Q111+S111+AE111+AS111+BB111+BE111+BG111+BH111</f>
        <v>246000</v>
      </c>
      <c r="F111" s="104"/>
      <c r="G111" s="101"/>
      <c r="H111" s="101">
        <f>SUM(I111:M111)</f>
        <v>0</v>
      </c>
      <c r="I111" s="100"/>
      <c r="J111" s="100"/>
      <c r="K111" s="100"/>
      <c r="L111" s="100"/>
      <c r="M111" s="100"/>
      <c r="N111" s="101"/>
      <c r="O111" s="101"/>
      <c r="P111" s="101"/>
      <c r="Q111" s="101"/>
      <c r="R111" s="101">
        <f>T111+U111+W111+Y111+AA111+AB111+AC111</f>
        <v>0</v>
      </c>
      <c r="S111" s="101">
        <f t="shared" ref="S111:S115" si="128">T111+V111+X111+Z111+AA111+AB111+AD111</f>
        <v>0</v>
      </c>
      <c r="T111" s="100"/>
      <c r="U111" s="102"/>
      <c r="V111" s="102"/>
      <c r="W111" s="100"/>
      <c r="X111" s="100"/>
      <c r="Y111" s="100"/>
      <c r="Z111" s="100"/>
      <c r="AA111" s="100"/>
      <c r="AB111" s="100"/>
      <c r="AC111" s="100"/>
      <c r="AD111" s="100"/>
      <c r="AE111" s="101">
        <f>SUM(AF111:AR111)</f>
        <v>246000</v>
      </c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>
        <v>246000</v>
      </c>
      <c r="AS111" s="101">
        <f>SUM(AT111:AZ111)</f>
        <v>0</v>
      </c>
      <c r="AT111" s="100"/>
      <c r="AU111" s="100"/>
      <c r="AV111" s="100"/>
      <c r="AW111" s="100"/>
      <c r="AX111" s="100"/>
      <c r="AY111" s="100"/>
      <c r="AZ111" s="100"/>
      <c r="BA111" s="100"/>
      <c r="BB111" s="100"/>
      <c r="BC111" s="100"/>
      <c r="BD111" s="100"/>
      <c r="BE111" s="100"/>
      <c r="BF111" s="100"/>
      <c r="BG111" s="100"/>
      <c r="BH111" s="103"/>
    </row>
    <row r="112" spans="1:60" s="170" customFormat="1" ht="15.75" x14ac:dyDescent="0.2">
      <c r="A112" s="18" t="s">
        <v>146</v>
      </c>
      <c r="B112" s="19" t="s">
        <v>90</v>
      </c>
      <c r="C112" s="93" t="s">
        <v>147</v>
      </c>
      <c r="D112" s="128">
        <f>D113+D114+D115</f>
        <v>295818</v>
      </c>
      <c r="E112" s="128">
        <f>E113+E114+E115</f>
        <v>295818</v>
      </c>
      <c r="F112" s="104">
        <f>SUM(F113:F115)</f>
        <v>233344</v>
      </c>
      <c r="G112" s="104">
        <f>SUM(G113:G115)</f>
        <v>55174</v>
      </c>
      <c r="H112" s="101">
        <f t="shared" ref="H112:AD112" si="129">H113+H114+H115</f>
        <v>1000</v>
      </c>
      <c r="I112" s="101">
        <f t="shared" si="129"/>
        <v>0</v>
      </c>
      <c r="J112" s="101">
        <f t="shared" si="129"/>
        <v>0</v>
      </c>
      <c r="K112" s="101">
        <f t="shared" si="129"/>
        <v>0</v>
      </c>
      <c r="L112" s="101">
        <f t="shared" si="129"/>
        <v>0</v>
      </c>
      <c r="M112" s="101">
        <f t="shared" si="129"/>
        <v>1000</v>
      </c>
      <c r="N112" s="101">
        <f t="shared" si="129"/>
        <v>0</v>
      </c>
      <c r="O112" s="101">
        <f>O113+O114+O115</f>
        <v>0</v>
      </c>
      <c r="P112" s="101">
        <f t="shared" si="129"/>
        <v>0</v>
      </c>
      <c r="Q112" s="101">
        <f t="shared" si="129"/>
        <v>5200</v>
      </c>
      <c r="R112" s="101">
        <f t="shared" si="129"/>
        <v>0</v>
      </c>
      <c r="S112" s="101">
        <f t="shared" si="128"/>
        <v>0</v>
      </c>
      <c r="T112" s="101">
        <f t="shared" si="129"/>
        <v>0</v>
      </c>
      <c r="U112" s="101">
        <f t="shared" si="129"/>
        <v>0</v>
      </c>
      <c r="V112" s="101">
        <f t="shared" si="129"/>
        <v>0</v>
      </c>
      <c r="W112" s="101">
        <f t="shared" si="129"/>
        <v>0</v>
      </c>
      <c r="X112" s="101">
        <f t="shared" si="129"/>
        <v>0</v>
      </c>
      <c r="Y112" s="101">
        <f t="shared" si="129"/>
        <v>0</v>
      </c>
      <c r="Z112" s="101">
        <f t="shared" si="129"/>
        <v>0</v>
      </c>
      <c r="AA112" s="101">
        <f t="shared" si="129"/>
        <v>0</v>
      </c>
      <c r="AB112" s="101">
        <f t="shared" si="129"/>
        <v>0</v>
      </c>
      <c r="AC112" s="101">
        <f t="shared" si="129"/>
        <v>0</v>
      </c>
      <c r="AD112" s="101">
        <f t="shared" si="129"/>
        <v>0</v>
      </c>
      <c r="AE112" s="101">
        <f>AF112+AG112+AI112+AJ112+AK112+AL112+AM112+AN112+AP112+AR112</f>
        <v>1100</v>
      </c>
      <c r="AF112" s="101">
        <f t="shared" ref="AF112" si="130">AF113+AF114+AF115</f>
        <v>200</v>
      </c>
      <c r="AG112" s="101">
        <f>AG113+AG114+AG115</f>
        <v>0</v>
      </c>
      <c r="AH112" s="101">
        <f>AH113+AH114+AH115</f>
        <v>0</v>
      </c>
      <c r="AI112" s="101">
        <f t="shared" ref="AI112" si="131">AI113+AI114+AI115</f>
        <v>300</v>
      </c>
      <c r="AJ112" s="101">
        <f t="shared" ref="AJ112:AU112" si="132">AJ113+AJ114+AJ115</f>
        <v>0</v>
      </c>
      <c r="AK112" s="101">
        <f t="shared" si="132"/>
        <v>0</v>
      </c>
      <c r="AL112" s="101">
        <f t="shared" si="132"/>
        <v>600</v>
      </c>
      <c r="AM112" s="101">
        <f t="shared" si="132"/>
        <v>0</v>
      </c>
      <c r="AN112" s="101">
        <f t="shared" si="132"/>
        <v>0</v>
      </c>
      <c r="AO112" s="101">
        <f>AO113+AO114+AO115</f>
        <v>0</v>
      </c>
      <c r="AP112" s="101">
        <f t="shared" si="132"/>
        <v>0</v>
      </c>
      <c r="AQ112" s="101">
        <f t="shared" ref="AQ112" si="133">AQ113+AQ114+AQ115</f>
        <v>0</v>
      </c>
      <c r="AR112" s="101">
        <f t="shared" si="132"/>
        <v>0</v>
      </c>
      <c r="AS112" s="101">
        <f t="shared" si="132"/>
        <v>0</v>
      </c>
      <c r="AT112" s="101">
        <f t="shared" si="132"/>
        <v>0</v>
      </c>
      <c r="AU112" s="101">
        <f t="shared" si="132"/>
        <v>0</v>
      </c>
      <c r="AV112" s="101"/>
      <c r="AW112" s="101"/>
      <c r="AX112" s="101"/>
      <c r="AY112" s="101">
        <f>AY113+AY114+AY115</f>
        <v>0</v>
      </c>
      <c r="AZ112" s="101">
        <f>AZ113+AZ114+AZ115</f>
        <v>0</v>
      </c>
      <c r="BA112" s="101"/>
      <c r="BB112" s="101">
        <f>BB113+BB114+BB115</f>
        <v>0</v>
      </c>
      <c r="BC112" s="100"/>
      <c r="BD112" s="100"/>
      <c r="BE112" s="101"/>
      <c r="BF112" s="101"/>
      <c r="BG112" s="101"/>
      <c r="BH112" s="106"/>
    </row>
    <row r="113" spans="1:60" s="170" customFormat="1" ht="15.75" customHeight="1" x14ac:dyDescent="0.2">
      <c r="A113" s="23"/>
      <c r="B113" s="19" t="s">
        <v>137</v>
      </c>
      <c r="C113" s="93" t="s">
        <v>47</v>
      </c>
      <c r="D113" s="99">
        <f>F113+G113+H113+N113+P113+Q113+R113+AE113+AS113+BB113+BF113</f>
        <v>295818</v>
      </c>
      <c r="E113" s="99">
        <f>F113+G113+H113+O113+N113+P113+Q113+S113+AE113+AS113+BB113+BE113+BG113+BH113</f>
        <v>295818</v>
      </c>
      <c r="F113" s="220">
        <v>233344</v>
      </c>
      <c r="G113" s="220">
        <v>55174</v>
      </c>
      <c r="H113" s="101">
        <f>SUM(I113:M113)</f>
        <v>1000</v>
      </c>
      <c r="I113" s="100"/>
      <c r="J113" s="100"/>
      <c r="K113" s="100"/>
      <c r="L113" s="100"/>
      <c r="M113" s="100">
        <v>1000</v>
      </c>
      <c r="N113" s="101"/>
      <c r="O113" s="101"/>
      <c r="P113" s="101"/>
      <c r="Q113" s="100">
        <v>5200</v>
      </c>
      <c r="R113" s="101">
        <f>T113+U113+W113+Y113+AA113+AB113+AC113</f>
        <v>0</v>
      </c>
      <c r="S113" s="101">
        <f t="shared" si="128"/>
        <v>0</v>
      </c>
      <c r="T113" s="100"/>
      <c r="U113" s="102"/>
      <c r="V113" s="102"/>
      <c r="W113" s="100"/>
      <c r="X113" s="100"/>
      <c r="Y113" s="100"/>
      <c r="Z113" s="100"/>
      <c r="AA113" s="100"/>
      <c r="AB113" s="100"/>
      <c r="AC113" s="100"/>
      <c r="AD113" s="100"/>
      <c r="AE113" s="101">
        <f>SUM(AF113:AR113)</f>
        <v>1100</v>
      </c>
      <c r="AF113" s="100">
        <v>200</v>
      </c>
      <c r="AG113" s="100"/>
      <c r="AH113" s="100"/>
      <c r="AI113" s="100">
        <v>300</v>
      </c>
      <c r="AJ113" s="100"/>
      <c r="AK113" s="100"/>
      <c r="AL113" s="100">
        <v>600</v>
      </c>
      <c r="AM113" s="100"/>
      <c r="AN113" s="100"/>
      <c r="AO113" s="100"/>
      <c r="AP113" s="100"/>
      <c r="AQ113" s="100"/>
      <c r="AR113" s="100"/>
      <c r="AS113" s="101">
        <f>SUM(AT113:AZ113)</f>
        <v>0</v>
      </c>
      <c r="AT113" s="100"/>
      <c r="AU113" s="100"/>
      <c r="AV113" s="100"/>
      <c r="AW113" s="100"/>
      <c r="AX113" s="100"/>
      <c r="AY113" s="100"/>
      <c r="AZ113" s="100"/>
      <c r="BA113" s="100"/>
      <c r="BB113" s="100"/>
      <c r="BC113" s="100"/>
      <c r="BD113" s="100"/>
      <c r="BE113" s="100"/>
      <c r="BF113" s="100"/>
      <c r="BG113" s="100"/>
      <c r="BH113" s="103"/>
    </row>
    <row r="114" spans="1:60" s="170" customFormat="1" ht="15.75" hidden="1" customHeight="1" x14ac:dyDescent="0.2">
      <c r="A114" s="23"/>
      <c r="B114" s="19" t="s">
        <v>138</v>
      </c>
      <c r="C114" s="93" t="s">
        <v>148</v>
      </c>
      <c r="D114" s="99">
        <f>F114+G114+H114+N114+P114+Q114+R114+AE114+AS114+BB114+BF114</f>
        <v>0</v>
      </c>
      <c r="E114" s="99">
        <f>F114+G114+H114+O114+N114+P114+Q114+S114+AE114+AS114+BB114+BE114+BG114+BH114</f>
        <v>0</v>
      </c>
      <c r="F114" s="222"/>
      <c r="G114" s="222"/>
      <c r="H114" s="101">
        <f>SUM(I114:M114)</f>
        <v>0</v>
      </c>
      <c r="I114" s="100"/>
      <c r="J114" s="100"/>
      <c r="K114" s="100"/>
      <c r="L114" s="100"/>
      <c r="M114" s="100"/>
      <c r="N114" s="101"/>
      <c r="O114" s="101"/>
      <c r="P114" s="101"/>
      <c r="Q114" s="100"/>
      <c r="R114" s="101">
        <f>T114+U114+W114+Y114+AA114+AB114+AC114</f>
        <v>0</v>
      </c>
      <c r="S114" s="101">
        <f t="shared" si="128"/>
        <v>0</v>
      </c>
      <c r="T114" s="100"/>
      <c r="U114" s="102"/>
      <c r="V114" s="102"/>
      <c r="W114" s="100"/>
      <c r="X114" s="100"/>
      <c r="Y114" s="100"/>
      <c r="Z114" s="100"/>
      <c r="AA114" s="100"/>
      <c r="AB114" s="100"/>
      <c r="AC114" s="100"/>
      <c r="AD114" s="100"/>
      <c r="AE114" s="101">
        <f>SUM(AF114:AR114)</f>
        <v>0</v>
      </c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1">
        <f>SUM(AT114:AZ114)</f>
        <v>0</v>
      </c>
      <c r="AT114" s="100"/>
      <c r="AU114" s="100"/>
      <c r="AV114" s="100"/>
      <c r="AW114" s="100"/>
      <c r="AX114" s="100"/>
      <c r="AY114" s="100"/>
      <c r="AZ114" s="100"/>
      <c r="BA114" s="100"/>
      <c r="BB114" s="100"/>
      <c r="BC114" s="100"/>
      <c r="BD114" s="100"/>
      <c r="BE114" s="100"/>
      <c r="BF114" s="100"/>
      <c r="BG114" s="100"/>
      <c r="BH114" s="103"/>
    </row>
    <row r="115" spans="1:60" s="170" customFormat="1" ht="15.75" hidden="1" customHeight="1" x14ac:dyDescent="0.2">
      <c r="A115" s="23"/>
      <c r="B115" s="19" t="s">
        <v>149</v>
      </c>
      <c r="C115" s="93" t="s">
        <v>150</v>
      </c>
      <c r="D115" s="99">
        <f>F115+G115+H115+N115+P115+Q115+R115+AE115+AS115+BB115+BF115</f>
        <v>0</v>
      </c>
      <c r="E115" s="99">
        <f>F115+G115+H115+O115+N115+P115+Q115+S115+AE115+AS115+BB115+BE115+BG115+BH115</f>
        <v>0</v>
      </c>
      <c r="F115" s="222"/>
      <c r="G115" s="222"/>
      <c r="H115" s="101">
        <f>SUM(I115:M115)</f>
        <v>0</v>
      </c>
      <c r="I115" s="100"/>
      <c r="J115" s="100"/>
      <c r="K115" s="100"/>
      <c r="L115" s="100"/>
      <c r="M115" s="100"/>
      <c r="N115" s="101"/>
      <c r="O115" s="101"/>
      <c r="P115" s="101"/>
      <c r="Q115" s="100"/>
      <c r="R115" s="101">
        <f>T115+U115+W115+Y115+AA115+AB115+AC115</f>
        <v>0</v>
      </c>
      <c r="S115" s="101">
        <f t="shared" si="128"/>
        <v>0</v>
      </c>
      <c r="T115" s="100"/>
      <c r="U115" s="102"/>
      <c r="V115" s="102"/>
      <c r="W115" s="100"/>
      <c r="X115" s="100"/>
      <c r="Y115" s="100"/>
      <c r="Z115" s="100"/>
      <c r="AA115" s="100"/>
      <c r="AB115" s="100"/>
      <c r="AC115" s="100"/>
      <c r="AD115" s="100"/>
      <c r="AE115" s="101">
        <f>SUM(AF115:AR115)</f>
        <v>0</v>
      </c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1">
        <f>SUM(AT115:AZ115)</f>
        <v>0</v>
      </c>
      <c r="AT115" s="100"/>
      <c r="AU115" s="100"/>
      <c r="AV115" s="100"/>
      <c r="AW115" s="100"/>
      <c r="AX115" s="100"/>
      <c r="AY115" s="100"/>
      <c r="AZ115" s="100"/>
      <c r="BA115" s="100"/>
      <c r="BB115" s="100"/>
      <c r="BC115" s="100"/>
      <c r="BD115" s="100"/>
      <c r="BE115" s="100"/>
      <c r="BF115" s="100"/>
      <c r="BG115" s="100"/>
      <c r="BH115" s="103"/>
    </row>
    <row r="116" spans="1:60" s="170" customFormat="1" ht="40.5" customHeight="1" x14ac:dyDescent="0.2">
      <c r="A116" s="57" t="s">
        <v>274</v>
      </c>
      <c r="B116" s="58" t="s">
        <v>90</v>
      </c>
      <c r="C116" s="139" t="s">
        <v>275</v>
      </c>
      <c r="D116" s="128">
        <f>SUM(D117:D118)</f>
        <v>737852</v>
      </c>
      <c r="E116" s="128">
        <f>SUM(E117:E118)</f>
        <v>737852</v>
      </c>
      <c r="F116" s="104">
        <f>SUM(F117:F118)</f>
        <v>555512</v>
      </c>
      <c r="G116" s="104">
        <f t="shared" ref="G116" si="134">SUM(G117:G118)</f>
        <v>132714</v>
      </c>
      <c r="H116" s="104">
        <f t="shared" ref="H116:BH116" si="135">SUM(H117:H118)</f>
        <v>39861</v>
      </c>
      <c r="I116" s="104">
        <f t="shared" si="135"/>
        <v>0</v>
      </c>
      <c r="J116" s="104">
        <f t="shared" si="135"/>
        <v>0</v>
      </c>
      <c r="K116" s="104">
        <f t="shared" si="135"/>
        <v>0</v>
      </c>
      <c r="L116" s="104">
        <f t="shared" si="135"/>
        <v>38323</v>
      </c>
      <c r="M116" s="104">
        <f t="shared" si="135"/>
        <v>1538</v>
      </c>
      <c r="N116" s="104">
        <f t="shared" si="135"/>
        <v>0</v>
      </c>
      <c r="O116" s="104">
        <f t="shared" si="135"/>
        <v>0</v>
      </c>
      <c r="P116" s="104">
        <f t="shared" si="135"/>
        <v>0</v>
      </c>
      <c r="Q116" s="104">
        <f t="shared" si="135"/>
        <v>6100</v>
      </c>
      <c r="R116" s="104">
        <f t="shared" si="135"/>
        <v>0</v>
      </c>
      <c r="S116" s="101">
        <f t="shared" ref="S116" si="136">SUM(S117:S118)</f>
        <v>0</v>
      </c>
      <c r="T116" s="104">
        <f t="shared" si="135"/>
        <v>0</v>
      </c>
      <c r="U116" s="104">
        <f t="shared" si="135"/>
        <v>0</v>
      </c>
      <c r="V116" s="104">
        <f t="shared" si="135"/>
        <v>0</v>
      </c>
      <c r="W116" s="104">
        <f t="shared" si="135"/>
        <v>0</v>
      </c>
      <c r="X116" s="104">
        <f t="shared" si="135"/>
        <v>0</v>
      </c>
      <c r="Y116" s="104">
        <f t="shared" si="135"/>
        <v>0</v>
      </c>
      <c r="Z116" s="104">
        <f t="shared" si="135"/>
        <v>0</v>
      </c>
      <c r="AA116" s="104">
        <f t="shared" si="135"/>
        <v>0</v>
      </c>
      <c r="AB116" s="104">
        <f t="shared" si="135"/>
        <v>0</v>
      </c>
      <c r="AC116" s="104">
        <f t="shared" si="135"/>
        <v>0</v>
      </c>
      <c r="AD116" s="104">
        <f t="shared" si="135"/>
        <v>0</v>
      </c>
      <c r="AE116" s="104">
        <f t="shared" si="135"/>
        <v>465</v>
      </c>
      <c r="AF116" s="104">
        <f t="shared" si="135"/>
        <v>0</v>
      </c>
      <c r="AG116" s="104">
        <f t="shared" si="135"/>
        <v>0</v>
      </c>
      <c r="AH116" s="104">
        <f t="shared" si="135"/>
        <v>0</v>
      </c>
      <c r="AI116" s="104">
        <f t="shared" ref="AI116" si="137">SUM(AI117:AI118)</f>
        <v>365</v>
      </c>
      <c r="AJ116" s="104">
        <f t="shared" si="135"/>
        <v>0</v>
      </c>
      <c r="AK116" s="104">
        <f t="shared" si="135"/>
        <v>0</v>
      </c>
      <c r="AL116" s="104">
        <f t="shared" si="135"/>
        <v>0</v>
      </c>
      <c r="AM116" s="104">
        <f t="shared" si="135"/>
        <v>0</v>
      </c>
      <c r="AN116" s="104">
        <f t="shared" si="135"/>
        <v>0</v>
      </c>
      <c r="AO116" s="104">
        <f t="shared" si="135"/>
        <v>0</v>
      </c>
      <c r="AP116" s="104">
        <f t="shared" si="135"/>
        <v>0</v>
      </c>
      <c r="AQ116" s="104">
        <f t="shared" ref="AQ116" si="138">SUM(AQ117:AQ118)</f>
        <v>0</v>
      </c>
      <c r="AR116" s="104">
        <f t="shared" si="135"/>
        <v>100</v>
      </c>
      <c r="AS116" s="104">
        <f t="shared" si="135"/>
        <v>0</v>
      </c>
      <c r="AT116" s="104">
        <f t="shared" si="135"/>
        <v>0</v>
      </c>
      <c r="AU116" s="104">
        <f t="shared" si="135"/>
        <v>0</v>
      </c>
      <c r="AV116" s="104">
        <f t="shared" si="135"/>
        <v>0</v>
      </c>
      <c r="AW116" s="104">
        <f>SUM(AW117:AW118)</f>
        <v>0</v>
      </c>
      <c r="AX116" s="104">
        <f t="shared" si="135"/>
        <v>0</v>
      </c>
      <c r="AY116" s="104">
        <f t="shared" ref="AY116" si="139">SUM(AY117:AY118)</f>
        <v>0</v>
      </c>
      <c r="AZ116" s="104">
        <f t="shared" si="135"/>
        <v>0</v>
      </c>
      <c r="BA116" s="104">
        <f t="shared" si="135"/>
        <v>0</v>
      </c>
      <c r="BB116" s="104">
        <f t="shared" si="135"/>
        <v>3200</v>
      </c>
      <c r="BC116" s="104">
        <f t="shared" si="135"/>
        <v>0</v>
      </c>
      <c r="BD116" s="104">
        <f t="shared" si="135"/>
        <v>0</v>
      </c>
      <c r="BE116" s="104">
        <f t="shared" si="135"/>
        <v>0</v>
      </c>
      <c r="BF116" s="104">
        <f t="shared" si="135"/>
        <v>0</v>
      </c>
      <c r="BG116" s="104">
        <f t="shared" si="135"/>
        <v>0</v>
      </c>
      <c r="BH116" s="207">
        <f t="shared" si="135"/>
        <v>0</v>
      </c>
    </row>
    <row r="117" spans="1:60" s="170" customFormat="1" ht="15.75" x14ac:dyDescent="0.2">
      <c r="A117" s="23"/>
      <c r="B117" s="19" t="s">
        <v>95</v>
      </c>
      <c r="C117" s="93" t="s">
        <v>8</v>
      </c>
      <c r="D117" s="99">
        <f>F117+G117+H117+N117+P117+Q117+R117+AE117+AS117+BB117+BF117</f>
        <v>548780</v>
      </c>
      <c r="E117" s="99">
        <f>F117+G117+H117+O117+N117+P117+Q117+S117+AE117+AS117+BB117+BE117+BG117+BH117</f>
        <v>548780</v>
      </c>
      <c r="F117" s="220">
        <v>407112</v>
      </c>
      <c r="G117" s="100">
        <v>97407</v>
      </c>
      <c r="H117" s="101">
        <f>SUM(I117:M117)</f>
        <v>39861</v>
      </c>
      <c r="I117" s="100"/>
      <c r="J117" s="100"/>
      <c r="K117" s="100"/>
      <c r="L117" s="100">
        <v>38323</v>
      </c>
      <c r="M117" s="100">
        <v>1538</v>
      </c>
      <c r="N117" s="101"/>
      <c r="O117" s="101"/>
      <c r="P117" s="101"/>
      <c r="Q117" s="100">
        <v>4400</v>
      </c>
      <c r="R117" s="101">
        <f>T117+U117+W117+Y117+AA117+AB117+AC117</f>
        <v>0</v>
      </c>
      <c r="S117" s="101">
        <f t="shared" ref="S117:S118" si="140">T117+V117+X117+Z117+AA117+AB117+AD117</f>
        <v>0</v>
      </c>
      <c r="T117" s="100"/>
      <c r="U117" s="102"/>
      <c r="V117" s="102"/>
      <c r="W117" s="102"/>
      <c r="X117" s="102"/>
      <c r="Y117" s="100"/>
      <c r="Z117" s="100"/>
      <c r="AA117" s="100"/>
      <c r="AB117" s="100"/>
      <c r="AC117" s="100"/>
      <c r="AD117" s="100"/>
      <c r="AE117" s="101">
        <f>SUM(AF117:AR117)</f>
        <v>0</v>
      </c>
      <c r="AF117" s="100"/>
      <c r="AG117" s="100"/>
      <c r="AH117" s="100"/>
      <c r="AI117" s="100"/>
      <c r="AJ117" s="100"/>
      <c r="AK117" s="100"/>
      <c r="AL117" s="100"/>
      <c r="AM117" s="100"/>
      <c r="AN117" s="100"/>
      <c r="AO117" s="100"/>
      <c r="AP117" s="100"/>
      <c r="AQ117" s="100"/>
      <c r="AR117" s="100"/>
      <c r="AS117" s="101">
        <f>SUM(AT117:AZ117)</f>
        <v>0</v>
      </c>
      <c r="AT117" s="100"/>
      <c r="AU117" s="100"/>
      <c r="AV117" s="100"/>
      <c r="AW117" s="100"/>
      <c r="AX117" s="100"/>
      <c r="AY117" s="100"/>
      <c r="AZ117" s="100"/>
      <c r="BA117" s="100"/>
      <c r="BB117" s="100"/>
      <c r="BC117" s="100"/>
      <c r="BD117" s="100"/>
      <c r="BE117" s="100"/>
      <c r="BF117" s="100"/>
      <c r="BG117" s="100"/>
      <c r="BH117" s="103"/>
    </row>
    <row r="118" spans="1:60" s="170" customFormat="1" ht="16.5" thickBot="1" x14ac:dyDescent="0.25">
      <c r="A118" s="23"/>
      <c r="B118" s="19" t="s">
        <v>95</v>
      </c>
      <c r="C118" s="93" t="s">
        <v>295</v>
      </c>
      <c r="D118" s="172">
        <f>F118+G118+H118+N118+P118+Q118+R118+AE118+AS118+BB118+BF118</f>
        <v>189072</v>
      </c>
      <c r="E118" s="99">
        <f>F118+G118+H118+O118+N118+P118+Q118+S118+AE118+AS118+BB118+BE118+BG118+BH118</f>
        <v>189072</v>
      </c>
      <c r="F118" s="220">
        <v>148400</v>
      </c>
      <c r="G118" s="100">
        <v>35307</v>
      </c>
      <c r="H118" s="101">
        <f>SUM(I118:M118)</f>
        <v>0</v>
      </c>
      <c r="I118" s="100"/>
      <c r="J118" s="100"/>
      <c r="K118" s="100"/>
      <c r="L118" s="100"/>
      <c r="M118" s="100"/>
      <c r="N118" s="101"/>
      <c r="O118" s="101"/>
      <c r="P118" s="101"/>
      <c r="Q118" s="100">
        <v>1700</v>
      </c>
      <c r="R118" s="101">
        <f>T118+U118+W118+Y118+AA118+AB118+AC118</f>
        <v>0</v>
      </c>
      <c r="S118" s="101">
        <f t="shared" si="140"/>
        <v>0</v>
      </c>
      <c r="T118" s="100"/>
      <c r="U118" s="102"/>
      <c r="V118" s="102"/>
      <c r="W118" s="102"/>
      <c r="X118" s="102"/>
      <c r="Y118" s="100"/>
      <c r="Z118" s="100"/>
      <c r="AA118" s="100"/>
      <c r="AB118" s="100"/>
      <c r="AC118" s="100"/>
      <c r="AD118" s="100"/>
      <c r="AE118" s="101">
        <f>SUM(AF118:AR118)</f>
        <v>465</v>
      </c>
      <c r="AF118" s="100"/>
      <c r="AG118" s="100"/>
      <c r="AH118" s="100"/>
      <c r="AI118" s="100">
        <v>365</v>
      </c>
      <c r="AJ118" s="100"/>
      <c r="AK118" s="100"/>
      <c r="AL118" s="100"/>
      <c r="AM118" s="100"/>
      <c r="AN118" s="100"/>
      <c r="AO118" s="100"/>
      <c r="AP118" s="100"/>
      <c r="AQ118" s="100"/>
      <c r="AR118" s="100">
        <v>100</v>
      </c>
      <c r="AS118" s="101">
        <f>SUM(AT118:AZ118)</f>
        <v>0</v>
      </c>
      <c r="AT118" s="100"/>
      <c r="AU118" s="100"/>
      <c r="AV118" s="100"/>
      <c r="AW118" s="100"/>
      <c r="AX118" s="100"/>
      <c r="AY118" s="100"/>
      <c r="AZ118" s="100"/>
      <c r="BA118" s="100"/>
      <c r="BB118" s="100">
        <v>3200</v>
      </c>
      <c r="BC118" s="100"/>
      <c r="BD118" s="100"/>
      <c r="BE118" s="100"/>
      <c r="BF118" s="100"/>
      <c r="BG118" s="100"/>
      <c r="BH118" s="103"/>
    </row>
    <row r="119" spans="1:60" s="3" customFormat="1" ht="16.5" hidden="1" customHeight="1" thickBot="1" x14ac:dyDescent="0.25">
      <c r="A119" s="45"/>
      <c r="B119" s="46"/>
      <c r="C119" s="204"/>
      <c r="D119" s="109"/>
      <c r="E119" s="109"/>
      <c r="F119" s="223"/>
      <c r="G119" s="110"/>
      <c r="H119" s="110"/>
      <c r="I119" s="127"/>
      <c r="J119" s="127"/>
      <c r="K119" s="110"/>
      <c r="L119" s="110"/>
      <c r="M119" s="110"/>
      <c r="N119" s="110"/>
      <c r="O119" s="110"/>
      <c r="P119" s="110"/>
      <c r="Q119" s="110"/>
      <c r="R119" s="110"/>
      <c r="S119" s="110"/>
      <c r="T119" s="110"/>
      <c r="U119" s="125"/>
      <c r="V119" s="125"/>
      <c r="W119" s="110"/>
      <c r="X119" s="110"/>
      <c r="Y119" s="110"/>
      <c r="Z119" s="110"/>
      <c r="AA119" s="110"/>
      <c r="AB119" s="110"/>
      <c r="AC119" s="112"/>
      <c r="AD119" s="112"/>
      <c r="AE119" s="110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2"/>
      <c r="BD119" s="112"/>
      <c r="BE119" s="110"/>
      <c r="BF119" s="110"/>
      <c r="BG119" s="112"/>
      <c r="BH119" s="113"/>
    </row>
    <row r="120" spans="1:60" s="3" customFormat="1" ht="18.95" customHeight="1" thickBot="1" x14ac:dyDescent="0.25">
      <c r="A120" s="28" t="s">
        <v>48</v>
      </c>
      <c r="B120" s="29" t="s">
        <v>90</v>
      </c>
      <c r="C120" s="114" t="s">
        <v>49</v>
      </c>
      <c r="D120" s="115">
        <f>D121</f>
        <v>555326</v>
      </c>
      <c r="E120" s="134">
        <f>E121</f>
        <v>555326</v>
      </c>
      <c r="F120" s="226">
        <f t="shared" ref="F120:G121" si="141">F121</f>
        <v>387350</v>
      </c>
      <c r="G120" s="135">
        <f t="shared" si="141"/>
        <v>92150</v>
      </c>
      <c r="H120" s="135">
        <f t="shared" ref="H120:BH121" si="142">H121</f>
        <v>600</v>
      </c>
      <c r="I120" s="135">
        <f t="shared" si="142"/>
        <v>0</v>
      </c>
      <c r="J120" s="135">
        <f t="shared" si="142"/>
        <v>0</v>
      </c>
      <c r="K120" s="135">
        <f t="shared" si="142"/>
        <v>0</v>
      </c>
      <c r="L120" s="135">
        <f t="shared" si="142"/>
        <v>0</v>
      </c>
      <c r="M120" s="135">
        <f t="shared" si="142"/>
        <v>600</v>
      </c>
      <c r="N120" s="135">
        <f t="shared" si="142"/>
        <v>0</v>
      </c>
      <c r="O120" s="135">
        <f t="shared" si="142"/>
        <v>0</v>
      </c>
      <c r="P120" s="135">
        <f t="shared" si="142"/>
        <v>0</v>
      </c>
      <c r="Q120" s="135">
        <f t="shared" si="142"/>
        <v>0</v>
      </c>
      <c r="R120" s="135">
        <f t="shared" si="142"/>
        <v>0</v>
      </c>
      <c r="S120" s="135">
        <f t="shared" si="142"/>
        <v>0</v>
      </c>
      <c r="T120" s="135">
        <f t="shared" si="142"/>
        <v>0</v>
      </c>
      <c r="U120" s="135">
        <f t="shared" si="142"/>
        <v>0</v>
      </c>
      <c r="V120" s="135">
        <f t="shared" si="142"/>
        <v>0</v>
      </c>
      <c r="W120" s="135">
        <f t="shared" si="142"/>
        <v>0</v>
      </c>
      <c r="X120" s="135">
        <f t="shared" si="142"/>
        <v>0</v>
      </c>
      <c r="Y120" s="135">
        <f t="shared" si="142"/>
        <v>0</v>
      </c>
      <c r="Z120" s="135">
        <f t="shared" si="142"/>
        <v>0</v>
      </c>
      <c r="AA120" s="135">
        <f t="shared" si="142"/>
        <v>0</v>
      </c>
      <c r="AB120" s="135">
        <f t="shared" si="142"/>
        <v>0</v>
      </c>
      <c r="AC120" s="135">
        <f t="shared" si="142"/>
        <v>0</v>
      </c>
      <c r="AD120" s="135">
        <f t="shared" si="142"/>
        <v>0</v>
      </c>
      <c r="AE120" s="135">
        <f>AE121</f>
        <v>2126</v>
      </c>
      <c r="AF120" s="135">
        <f t="shared" si="142"/>
        <v>0</v>
      </c>
      <c r="AG120" s="135">
        <f t="shared" si="142"/>
        <v>0</v>
      </c>
      <c r="AH120" s="135">
        <f t="shared" si="142"/>
        <v>0</v>
      </c>
      <c r="AI120" s="135">
        <f t="shared" si="142"/>
        <v>0</v>
      </c>
      <c r="AJ120" s="135">
        <f t="shared" si="142"/>
        <v>0</v>
      </c>
      <c r="AK120" s="135">
        <f t="shared" si="142"/>
        <v>0</v>
      </c>
      <c r="AL120" s="135">
        <f t="shared" si="142"/>
        <v>0</v>
      </c>
      <c r="AM120" s="135">
        <f t="shared" si="142"/>
        <v>0</v>
      </c>
      <c r="AN120" s="135">
        <f t="shared" si="142"/>
        <v>0</v>
      </c>
      <c r="AO120" s="135">
        <f t="shared" si="142"/>
        <v>2126</v>
      </c>
      <c r="AP120" s="135">
        <f t="shared" si="142"/>
        <v>0</v>
      </c>
      <c r="AQ120" s="135">
        <f t="shared" si="142"/>
        <v>0</v>
      </c>
      <c r="AR120" s="135">
        <f t="shared" si="142"/>
        <v>0</v>
      </c>
      <c r="AS120" s="135">
        <f t="shared" si="142"/>
        <v>73100</v>
      </c>
      <c r="AT120" s="135">
        <f t="shared" si="142"/>
        <v>0</v>
      </c>
      <c r="AU120" s="135">
        <f t="shared" si="142"/>
        <v>0</v>
      </c>
      <c r="AV120" s="135">
        <f t="shared" si="142"/>
        <v>0</v>
      </c>
      <c r="AW120" s="135">
        <f>AW121</f>
        <v>73100</v>
      </c>
      <c r="AX120" s="135">
        <f t="shared" si="142"/>
        <v>0</v>
      </c>
      <c r="AY120" s="135">
        <f t="shared" si="142"/>
        <v>0</v>
      </c>
      <c r="AZ120" s="135">
        <f t="shared" si="142"/>
        <v>0</v>
      </c>
      <c r="BA120" s="135">
        <f t="shared" si="142"/>
        <v>0</v>
      </c>
      <c r="BB120" s="135">
        <f t="shared" si="142"/>
        <v>0</v>
      </c>
      <c r="BC120" s="135">
        <f t="shared" si="142"/>
        <v>0</v>
      </c>
      <c r="BD120" s="135">
        <f t="shared" si="142"/>
        <v>0</v>
      </c>
      <c r="BE120" s="135">
        <f t="shared" si="142"/>
        <v>0</v>
      </c>
      <c r="BF120" s="135">
        <f t="shared" si="142"/>
        <v>0</v>
      </c>
      <c r="BG120" s="135">
        <f t="shared" si="142"/>
        <v>0</v>
      </c>
      <c r="BH120" s="136">
        <f t="shared" si="142"/>
        <v>0</v>
      </c>
    </row>
    <row r="121" spans="1:60" s="170" customFormat="1" ht="15.75" customHeight="1" x14ac:dyDescent="0.2">
      <c r="A121" s="18" t="s">
        <v>151</v>
      </c>
      <c r="B121" s="19" t="s">
        <v>90</v>
      </c>
      <c r="C121" s="93" t="s">
        <v>152</v>
      </c>
      <c r="D121" s="128">
        <f>D122</f>
        <v>555326</v>
      </c>
      <c r="E121" s="128">
        <f>E122</f>
        <v>555326</v>
      </c>
      <c r="F121" s="219">
        <f t="shared" si="141"/>
        <v>387350</v>
      </c>
      <c r="G121" s="95">
        <f t="shared" si="141"/>
        <v>92150</v>
      </c>
      <c r="H121" s="95">
        <f t="shared" si="142"/>
        <v>600</v>
      </c>
      <c r="I121" s="95">
        <f t="shared" si="142"/>
        <v>0</v>
      </c>
      <c r="J121" s="95">
        <f t="shared" si="142"/>
        <v>0</v>
      </c>
      <c r="K121" s="95">
        <f t="shared" si="142"/>
        <v>0</v>
      </c>
      <c r="L121" s="95">
        <f t="shared" si="142"/>
        <v>0</v>
      </c>
      <c r="M121" s="95">
        <f t="shared" si="142"/>
        <v>600</v>
      </c>
      <c r="N121" s="95">
        <f t="shared" si="142"/>
        <v>0</v>
      </c>
      <c r="O121" s="95">
        <f t="shared" si="142"/>
        <v>0</v>
      </c>
      <c r="P121" s="95">
        <f t="shared" si="142"/>
        <v>0</v>
      </c>
      <c r="Q121" s="95">
        <f t="shared" si="142"/>
        <v>0</v>
      </c>
      <c r="R121" s="95">
        <f t="shared" si="142"/>
        <v>0</v>
      </c>
      <c r="S121" s="95">
        <f t="shared" si="142"/>
        <v>0</v>
      </c>
      <c r="T121" s="95">
        <f t="shared" si="142"/>
        <v>0</v>
      </c>
      <c r="U121" s="95">
        <f t="shared" si="142"/>
        <v>0</v>
      </c>
      <c r="V121" s="95">
        <f t="shared" si="142"/>
        <v>0</v>
      </c>
      <c r="W121" s="95">
        <f t="shared" si="142"/>
        <v>0</v>
      </c>
      <c r="X121" s="95">
        <f t="shared" si="142"/>
        <v>0</v>
      </c>
      <c r="Y121" s="95">
        <f t="shared" si="142"/>
        <v>0</v>
      </c>
      <c r="Z121" s="95">
        <f t="shared" si="142"/>
        <v>0</v>
      </c>
      <c r="AA121" s="95">
        <f t="shared" si="142"/>
        <v>0</v>
      </c>
      <c r="AB121" s="95">
        <f t="shared" si="142"/>
        <v>0</v>
      </c>
      <c r="AC121" s="95">
        <f t="shared" si="142"/>
        <v>0</v>
      </c>
      <c r="AD121" s="95">
        <f t="shared" si="142"/>
        <v>0</v>
      </c>
      <c r="AE121" s="95">
        <f>AF121+AG121+AI121+AJ121+AK121+AL121+AM121+AN121+AP121+AR121+AO121</f>
        <v>2126</v>
      </c>
      <c r="AF121" s="95">
        <f t="shared" si="142"/>
        <v>0</v>
      </c>
      <c r="AG121" s="95">
        <f t="shared" si="142"/>
        <v>0</v>
      </c>
      <c r="AH121" s="95">
        <f t="shared" si="142"/>
        <v>0</v>
      </c>
      <c r="AI121" s="95">
        <f t="shared" si="142"/>
        <v>0</v>
      </c>
      <c r="AJ121" s="95">
        <f t="shared" si="142"/>
        <v>0</v>
      </c>
      <c r="AK121" s="95">
        <f t="shared" si="142"/>
        <v>0</v>
      </c>
      <c r="AL121" s="95">
        <f t="shared" si="142"/>
        <v>0</v>
      </c>
      <c r="AM121" s="95">
        <f t="shared" si="142"/>
        <v>0</v>
      </c>
      <c r="AN121" s="95">
        <f t="shared" si="142"/>
        <v>0</v>
      </c>
      <c r="AO121" s="95">
        <f t="shared" si="142"/>
        <v>2126</v>
      </c>
      <c r="AP121" s="95">
        <f t="shared" si="142"/>
        <v>0</v>
      </c>
      <c r="AQ121" s="95">
        <f t="shared" si="142"/>
        <v>0</v>
      </c>
      <c r="AR121" s="95">
        <f t="shared" si="142"/>
        <v>0</v>
      </c>
      <c r="AS121" s="95">
        <f t="shared" si="142"/>
        <v>73100</v>
      </c>
      <c r="AT121" s="95">
        <f t="shared" si="142"/>
        <v>0</v>
      </c>
      <c r="AU121" s="95">
        <f t="shared" si="142"/>
        <v>0</v>
      </c>
      <c r="AV121" s="95">
        <f t="shared" si="142"/>
        <v>0</v>
      </c>
      <c r="AW121" s="95">
        <f t="shared" si="142"/>
        <v>73100</v>
      </c>
      <c r="AX121" s="95">
        <f t="shared" si="142"/>
        <v>0</v>
      </c>
      <c r="AY121" s="95">
        <f>AY122</f>
        <v>0</v>
      </c>
      <c r="AZ121" s="95">
        <f>AZ122</f>
        <v>0</v>
      </c>
      <c r="BA121" s="95"/>
      <c r="BB121" s="95">
        <f>BB122</f>
        <v>0</v>
      </c>
      <c r="BC121" s="97"/>
      <c r="BD121" s="97"/>
      <c r="BE121" s="95"/>
      <c r="BF121" s="95"/>
      <c r="BG121" s="97"/>
      <c r="BH121" s="98"/>
    </row>
    <row r="122" spans="1:60" s="170" customFormat="1" ht="15.75" customHeight="1" thickBot="1" x14ac:dyDescent="0.25">
      <c r="A122" s="23"/>
      <c r="B122" s="19" t="s">
        <v>153</v>
      </c>
      <c r="C122" s="93" t="s">
        <v>244</v>
      </c>
      <c r="D122" s="99">
        <f>F122+G122+H122+N122+P122+Q122+R122+AE122+AS122+BB122</f>
        <v>555326</v>
      </c>
      <c r="E122" s="99">
        <f>F122+G122+H122+O122+N122+P122+Q122+S122+AE122+AS122+BB122+BE122+BG122+BH122</f>
        <v>555326</v>
      </c>
      <c r="F122" s="220">
        <v>387350</v>
      </c>
      <c r="G122" s="220">
        <v>92150</v>
      </c>
      <c r="H122" s="101">
        <f>SUM(I122:M122)</f>
        <v>600</v>
      </c>
      <c r="I122" s="100"/>
      <c r="J122" s="100"/>
      <c r="K122" s="100"/>
      <c r="L122" s="100"/>
      <c r="M122" s="100">
        <v>600</v>
      </c>
      <c r="N122" s="101"/>
      <c r="O122" s="101"/>
      <c r="P122" s="101"/>
      <c r="Q122" s="101"/>
      <c r="R122" s="101">
        <f>T122+U122+W122+Y122+AA122+AB122+AC122</f>
        <v>0</v>
      </c>
      <c r="S122" s="101">
        <f t="shared" ref="S122" si="143">V122+X122+Z122+AA122+AB122+AD122</f>
        <v>0</v>
      </c>
      <c r="T122" s="100"/>
      <c r="U122" s="102"/>
      <c r="V122" s="102"/>
      <c r="W122" s="100">
        <v>0</v>
      </c>
      <c r="X122" s="100"/>
      <c r="Y122" s="100"/>
      <c r="Z122" s="100"/>
      <c r="AA122" s="100"/>
      <c r="AB122" s="100"/>
      <c r="AC122" s="100"/>
      <c r="AD122" s="100"/>
      <c r="AE122" s="101">
        <f>SUM(AF122:AR122)</f>
        <v>2126</v>
      </c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>
        <v>2126</v>
      </c>
      <c r="AP122" s="100"/>
      <c r="AQ122" s="100"/>
      <c r="AR122" s="100"/>
      <c r="AS122" s="101">
        <f>SUM(AT122:AZ122)</f>
        <v>73100</v>
      </c>
      <c r="AT122" s="100"/>
      <c r="AU122" s="100"/>
      <c r="AV122" s="100"/>
      <c r="AW122" s="100">
        <v>73100</v>
      </c>
      <c r="AX122" s="100"/>
      <c r="AY122" s="100"/>
      <c r="AZ122" s="100"/>
      <c r="BA122" s="100"/>
      <c r="BB122" s="100"/>
      <c r="BC122" s="100"/>
      <c r="BD122" s="100"/>
      <c r="BE122" s="100"/>
      <c r="BF122" s="100"/>
      <c r="BG122" s="100"/>
      <c r="BH122" s="103"/>
    </row>
    <row r="123" spans="1:60" s="3" customFormat="1" ht="18.95" customHeight="1" thickBot="1" x14ac:dyDescent="0.25">
      <c r="A123" s="28" t="s">
        <v>50</v>
      </c>
      <c r="B123" s="29" t="s">
        <v>90</v>
      </c>
      <c r="C123" s="114" t="s">
        <v>51</v>
      </c>
      <c r="D123" s="115">
        <f t="shared" ref="D123:AD123" si="144">D124+D127+D133</f>
        <v>8381796</v>
      </c>
      <c r="E123" s="115">
        <f t="shared" si="144"/>
        <v>8166079</v>
      </c>
      <c r="F123" s="116">
        <f t="shared" si="144"/>
        <v>4222284</v>
      </c>
      <c r="G123" s="117">
        <f t="shared" si="144"/>
        <v>939228</v>
      </c>
      <c r="H123" s="117">
        <f t="shared" si="144"/>
        <v>800665</v>
      </c>
      <c r="I123" s="117">
        <f t="shared" si="144"/>
        <v>3100</v>
      </c>
      <c r="J123" s="117">
        <f t="shared" si="144"/>
        <v>0</v>
      </c>
      <c r="K123" s="117">
        <f t="shared" si="144"/>
        <v>673365</v>
      </c>
      <c r="L123" s="117">
        <f t="shared" si="144"/>
        <v>120000</v>
      </c>
      <c r="M123" s="117">
        <f t="shared" si="144"/>
        <v>4200</v>
      </c>
      <c r="N123" s="117">
        <f t="shared" si="144"/>
        <v>0</v>
      </c>
      <c r="O123" s="117">
        <f t="shared" si="144"/>
        <v>0</v>
      </c>
      <c r="P123" s="117">
        <f t="shared" si="144"/>
        <v>0</v>
      </c>
      <c r="Q123" s="117">
        <f t="shared" si="144"/>
        <v>4100</v>
      </c>
      <c r="R123" s="117">
        <f t="shared" si="144"/>
        <v>659796</v>
      </c>
      <c r="S123" s="117">
        <f t="shared" si="144"/>
        <v>444079</v>
      </c>
      <c r="T123" s="117">
        <f t="shared" si="144"/>
        <v>2300</v>
      </c>
      <c r="U123" s="117">
        <f t="shared" si="144"/>
        <v>137460</v>
      </c>
      <c r="V123" s="117">
        <f t="shared" si="144"/>
        <v>0</v>
      </c>
      <c r="W123" s="117">
        <f t="shared" si="144"/>
        <v>44483</v>
      </c>
      <c r="X123" s="117">
        <f t="shared" si="144"/>
        <v>0</v>
      </c>
      <c r="Y123" s="117">
        <f t="shared" si="144"/>
        <v>32263</v>
      </c>
      <c r="Z123" s="117">
        <f t="shared" si="144"/>
        <v>0</v>
      </c>
      <c r="AA123" s="117">
        <f t="shared" si="144"/>
        <v>0</v>
      </c>
      <c r="AB123" s="117">
        <f t="shared" si="144"/>
        <v>441779</v>
      </c>
      <c r="AC123" s="117">
        <f t="shared" si="144"/>
        <v>1511</v>
      </c>
      <c r="AD123" s="117">
        <f t="shared" si="144"/>
        <v>0</v>
      </c>
      <c r="AE123" s="117">
        <f>AF123+AG123+AI123+AJ123+AK123+AL123+AM123+AN123+AP123+AR123</f>
        <v>142900</v>
      </c>
      <c r="AF123" s="117">
        <f t="shared" ref="AF123:AU123" si="145">AF124+AF127+AF133</f>
        <v>1000</v>
      </c>
      <c r="AG123" s="117">
        <f t="shared" si="145"/>
        <v>53500</v>
      </c>
      <c r="AH123" s="117">
        <f t="shared" si="145"/>
        <v>0</v>
      </c>
      <c r="AI123" s="117">
        <f t="shared" si="145"/>
        <v>400</v>
      </c>
      <c r="AJ123" s="117">
        <f t="shared" si="145"/>
        <v>0</v>
      </c>
      <c r="AK123" s="117">
        <f t="shared" si="145"/>
        <v>0</v>
      </c>
      <c r="AL123" s="117">
        <f t="shared" si="145"/>
        <v>0</v>
      </c>
      <c r="AM123" s="117">
        <f t="shared" si="145"/>
        <v>0</v>
      </c>
      <c r="AN123" s="117">
        <f t="shared" si="145"/>
        <v>0</v>
      </c>
      <c r="AO123" s="117">
        <f t="shared" si="145"/>
        <v>0</v>
      </c>
      <c r="AP123" s="117">
        <f t="shared" si="145"/>
        <v>0</v>
      </c>
      <c r="AQ123" s="117">
        <f t="shared" ref="AQ123" si="146">AQ124+AQ127+AQ133</f>
        <v>0</v>
      </c>
      <c r="AR123" s="117">
        <f t="shared" si="145"/>
        <v>88000</v>
      </c>
      <c r="AS123" s="117">
        <f t="shared" si="145"/>
        <v>1609823</v>
      </c>
      <c r="AT123" s="117">
        <f t="shared" si="145"/>
        <v>0</v>
      </c>
      <c r="AU123" s="117">
        <f t="shared" si="145"/>
        <v>0</v>
      </c>
      <c r="AV123" s="117"/>
      <c r="AW123" s="117"/>
      <c r="AX123" s="117"/>
      <c r="AY123" s="117">
        <f>AY124+AY127+AY133</f>
        <v>1609823</v>
      </c>
      <c r="AZ123" s="117">
        <f>AZ124+AZ127+AZ133</f>
        <v>0</v>
      </c>
      <c r="BA123" s="117"/>
      <c r="BB123" s="117">
        <f>BB124+BB127+BB133</f>
        <v>3000</v>
      </c>
      <c r="BC123" s="140">
        <f>BC127</f>
        <v>0</v>
      </c>
      <c r="BD123" s="119"/>
      <c r="BE123" s="117">
        <f>BE124+BE127+BE133</f>
        <v>0</v>
      </c>
      <c r="BF123" s="117">
        <f>BF124+BF127+BF133</f>
        <v>0</v>
      </c>
      <c r="BG123" s="117">
        <f>BG124+BG127+BG133</f>
        <v>0</v>
      </c>
      <c r="BH123" s="120">
        <f>BH124+BH127+BH133</f>
        <v>0</v>
      </c>
    </row>
    <row r="124" spans="1:60" s="170" customFormat="1" ht="15.75" x14ac:dyDescent="0.2">
      <c r="A124" s="18" t="s">
        <v>154</v>
      </c>
      <c r="B124" s="19" t="s">
        <v>90</v>
      </c>
      <c r="C124" s="93" t="s">
        <v>52</v>
      </c>
      <c r="D124" s="94">
        <f>D125+D126</f>
        <v>6200194</v>
      </c>
      <c r="E124" s="94">
        <f>E125+E126</f>
        <v>5984477</v>
      </c>
      <c r="F124" s="219">
        <f>F125+F126</f>
        <v>4222284</v>
      </c>
      <c r="G124" s="95">
        <f>G125+G126</f>
        <v>939228</v>
      </c>
      <c r="H124" s="95">
        <f t="shared" ref="H124:AD124" si="147">H125+H126</f>
        <v>800665</v>
      </c>
      <c r="I124" s="95">
        <f t="shared" si="147"/>
        <v>3100</v>
      </c>
      <c r="J124" s="95">
        <f t="shared" si="147"/>
        <v>0</v>
      </c>
      <c r="K124" s="95">
        <f t="shared" si="147"/>
        <v>673365</v>
      </c>
      <c r="L124" s="95">
        <f t="shared" si="147"/>
        <v>120000</v>
      </c>
      <c r="M124" s="95">
        <f t="shared" si="147"/>
        <v>4200</v>
      </c>
      <c r="N124" s="95">
        <f t="shared" si="147"/>
        <v>0</v>
      </c>
      <c r="O124" s="95">
        <f>O125+O126</f>
        <v>0</v>
      </c>
      <c r="P124" s="95">
        <f t="shared" si="147"/>
        <v>0</v>
      </c>
      <c r="Q124" s="95">
        <f t="shared" si="147"/>
        <v>4100</v>
      </c>
      <c r="R124" s="95">
        <f t="shared" si="147"/>
        <v>218017</v>
      </c>
      <c r="S124" s="95">
        <f t="shared" ref="S124" si="148">S125+S126</f>
        <v>2300</v>
      </c>
      <c r="T124" s="95">
        <f t="shared" si="147"/>
        <v>2300</v>
      </c>
      <c r="U124" s="95">
        <f t="shared" si="147"/>
        <v>137460</v>
      </c>
      <c r="V124" s="95">
        <f t="shared" si="147"/>
        <v>0</v>
      </c>
      <c r="W124" s="95">
        <f t="shared" si="147"/>
        <v>44483</v>
      </c>
      <c r="X124" s="95">
        <f t="shared" si="147"/>
        <v>0</v>
      </c>
      <c r="Y124" s="95">
        <f t="shared" si="147"/>
        <v>32263</v>
      </c>
      <c r="Z124" s="95">
        <f t="shared" si="147"/>
        <v>0</v>
      </c>
      <c r="AA124" s="95">
        <f t="shared" si="147"/>
        <v>0</v>
      </c>
      <c r="AB124" s="95">
        <f t="shared" si="147"/>
        <v>0</v>
      </c>
      <c r="AC124" s="95">
        <f t="shared" si="147"/>
        <v>1511</v>
      </c>
      <c r="AD124" s="95">
        <f t="shared" si="147"/>
        <v>0</v>
      </c>
      <c r="AE124" s="95">
        <f>AF124+AG124+AI124+AJ124+AK124+AL124+AM124+AN124+AP124+AR124</f>
        <v>12900</v>
      </c>
      <c r="AF124" s="95">
        <f t="shared" ref="AF124:AU124" si="149">AF125+AF126</f>
        <v>1000</v>
      </c>
      <c r="AG124" s="95">
        <f t="shared" si="149"/>
        <v>3500</v>
      </c>
      <c r="AH124" s="95">
        <f t="shared" si="149"/>
        <v>0</v>
      </c>
      <c r="AI124" s="95">
        <f t="shared" si="149"/>
        <v>400</v>
      </c>
      <c r="AJ124" s="95">
        <f t="shared" si="149"/>
        <v>0</v>
      </c>
      <c r="AK124" s="95">
        <f t="shared" si="149"/>
        <v>0</v>
      </c>
      <c r="AL124" s="95">
        <f t="shared" si="149"/>
        <v>0</v>
      </c>
      <c r="AM124" s="95">
        <f t="shared" si="149"/>
        <v>0</v>
      </c>
      <c r="AN124" s="95">
        <f t="shared" si="149"/>
        <v>0</v>
      </c>
      <c r="AO124" s="95">
        <f>AO125+AO126</f>
        <v>0</v>
      </c>
      <c r="AP124" s="95">
        <f t="shared" si="149"/>
        <v>0</v>
      </c>
      <c r="AQ124" s="95">
        <f t="shared" ref="AQ124" si="150">AQ125+AQ126</f>
        <v>0</v>
      </c>
      <c r="AR124" s="95">
        <f t="shared" si="149"/>
        <v>8000</v>
      </c>
      <c r="AS124" s="95">
        <f t="shared" si="149"/>
        <v>0</v>
      </c>
      <c r="AT124" s="95">
        <f t="shared" si="149"/>
        <v>0</v>
      </c>
      <c r="AU124" s="95">
        <f t="shared" si="149"/>
        <v>0</v>
      </c>
      <c r="AV124" s="95"/>
      <c r="AW124" s="95"/>
      <c r="AX124" s="95"/>
      <c r="AY124" s="95">
        <f>AY125+AY126</f>
        <v>0</v>
      </c>
      <c r="AZ124" s="95">
        <f>AZ125+AZ126</f>
        <v>0</v>
      </c>
      <c r="BA124" s="95"/>
      <c r="BB124" s="95">
        <f>BB125+BB126</f>
        <v>3000</v>
      </c>
      <c r="BC124" s="97"/>
      <c r="BD124" s="97"/>
      <c r="BE124" s="95"/>
      <c r="BF124" s="95"/>
      <c r="BG124" s="95">
        <f>SUM(BG125:BG126)</f>
        <v>0</v>
      </c>
      <c r="BH124" s="98"/>
    </row>
    <row r="125" spans="1:60" s="170" customFormat="1" ht="17.100000000000001" customHeight="1" x14ac:dyDescent="0.2">
      <c r="A125" s="23"/>
      <c r="B125" s="19" t="s">
        <v>155</v>
      </c>
      <c r="C125" s="93" t="s">
        <v>266</v>
      </c>
      <c r="D125" s="99">
        <f>F125+G125+H125+N125+P125+Q125+R125+AE125+AS125+BB125+BF125+BG125</f>
        <v>2926565</v>
      </c>
      <c r="E125" s="99">
        <f>F125+G125+H125+O125+N125+P125+Q125+S125+AE125+AS125+BB125+BE125+BG125+BH125</f>
        <v>2895446</v>
      </c>
      <c r="F125" s="220">
        <v>2354881</v>
      </c>
      <c r="G125" s="100">
        <v>540565</v>
      </c>
      <c r="H125" s="101">
        <f>SUM(I125:M125)</f>
        <v>0</v>
      </c>
      <c r="I125" s="100"/>
      <c r="J125" s="100"/>
      <c r="K125" s="100"/>
      <c r="L125" s="100"/>
      <c r="M125" s="100"/>
      <c r="N125" s="101"/>
      <c r="O125" s="101"/>
      <c r="P125" s="101"/>
      <c r="Q125" s="101">
        <v>0</v>
      </c>
      <c r="R125" s="101">
        <f>T125+U125+W125+Y125+AA125+AB125+AC125</f>
        <v>31119</v>
      </c>
      <c r="S125" s="101">
        <f>T125+V125+X125+Z125+AA125+AB125+AD125</f>
        <v>0</v>
      </c>
      <c r="T125" s="100"/>
      <c r="U125" s="100">
        <v>13628</v>
      </c>
      <c r="V125" s="100"/>
      <c r="W125" s="100">
        <v>14892</v>
      </c>
      <c r="X125" s="100"/>
      <c r="Y125" s="100">
        <v>2599</v>
      </c>
      <c r="Z125" s="100"/>
      <c r="AA125" s="100"/>
      <c r="AB125" s="100"/>
      <c r="AC125" s="100"/>
      <c r="AD125" s="100"/>
      <c r="AE125" s="101">
        <f>SUM(AF125:AR125)</f>
        <v>0</v>
      </c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1">
        <f>SUM(AT125:AZ125)</f>
        <v>0</v>
      </c>
      <c r="AT125" s="100"/>
      <c r="AU125" s="100"/>
      <c r="AV125" s="100"/>
      <c r="AW125" s="100"/>
      <c r="AX125" s="100"/>
      <c r="AY125" s="100"/>
      <c r="AZ125" s="100"/>
      <c r="BA125" s="100"/>
      <c r="BB125" s="100"/>
      <c r="BC125" s="100"/>
      <c r="BD125" s="100"/>
      <c r="BE125" s="100"/>
      <c r="BF125" s="100"/>
      <c r="BG125" s="100"/>
      <c r="BH125" s="103"/>
    </row>
    <row r="126" spans="1:60" s="170" customFormat="1" ht="17.100000000000001" customHeight="1" x14ac:dyDescent="0.2">
      <c r="A126" s="23"/>
      <c r="B126" s="19" t="s">
        <v>156</v>
      </c>
      <c r="C126" s="93" t="s">
        <v>157</v>
      </c>
      <c r="D126" s="99">
        <f>F126+G126+H126+N126+P126+Q126+R126+AE126+AS126+BB126+BF126</f>
        <v>3273629</v>
      </c>
      <c r="E126" s="99">
        <f>F126+G126+H126+O126+N126+P126+Q126+S126+AE126+AS126+BB126+BE126+BG126+BH126</f>
        <v>3089031</v>
      </c>
      <c r="F126" s="220">
        <v>1867403</v>
      </c>
      <c r="G126" s="100">
        <v>398663</v>
      </c>
      <c r="H126" s="101">
        <f>SUM(I126:M126)</f>
        <v>800665</v>
      </c>
      <c r="I126" s="100">
        <v>3100</v>
      </c>
      <c r="J126" s="100"/>
      <c r="K126" s="100">
        <v>673365</v>
      </c>
      <c r="L126" s="100">
        <v>120000</v>
      </c>
      <c r="M126" s="100">
        <v>4200</v>
      </c>
      <c r="N126" s="101"/>
      <c r="O126" s="101"/>
      <c r="P126" s="101"/>
      <c r="Q126" s="100">
        <v>4100</v>
      </c>
      <c r="R126" s="101">
        <f>T126+U126+W126+Y126+AA126+AB126+AC126</f>
        <v>186898</v>
      </c>
      <c r="S126" s="101">
        <f t="shared" ref="S126" si="151">T126+V126+X126+Z126+AA126+AB126+AD126</f>
        <v>2300</v>
      </c>
      <c r="T126" s="100">
        <v>2300</v>
      </c>
      <c r="U126" s="100">
        <v>123832</v>
      </c>
      <c r="V126" s="100"/>
      <c r="W126" s="100">
        <v>29591</v>
      </c>
      <c r="X126" s="100"/>
      <c r="Y126" s="100">
        <v>29664</v>
      </c>
      <c r="Z126" s="100"/>
      <c r="AA126" s="100"/>
      <c r="AB126" s="100"/>
      <c r="AC126" s="100">
        <v>1511</v>
      </c>
      <c r="AD126" s="102"/>
      <c r="AE126" s="101">
        <f>SUM(AF126:AR126)</f>
        <v>12900</v>
      </c>
      <c r="AF126" s="100">
        <v>1000</v>
      </c>
      <c r="AG126" s="100">
        <v>3500</v>
      </c>
      <c r="AH126" s="100"/>
      <c r="AI126" s="100">
        <v>400</v>
      </c>
      <c r="AJ126" s="100"/>
      <c r="AK126" s="100"/>
      <c r="AL126" s="100"/>
      <c r="AM126" s="100"/>
      <c r="AN126" s="100"/>
      <c r="AO126" s="100"/>
      <c r="AP126" s="100"/>
      <c r="AQ126" s="100"/>
      <c r="AR126" s="100">
        <v>8000</v>
      </c>
      <c r="AS126" s="101">
        <f>SUM(AT126:AZ126)</f>
        <v>0</v>
      </c>
      <c r="AT126" s="100"/>
      <c r="AU126" s="100"/>
      <c r="AV126" s="100"/>
      <c r="AW126" s="100"/>
      <c r="AX126" s="100"/>
      <c r="AY126" s="100"/>
      <c r="AZ126" s="100"/>
      <c r="BA126" s="100"/>
      <c r="BB126" s="100">
        <v>3000</v>
      </c>
      <c r="BC126" s="100"/>
      <c r="BD126" s="100"/>
      <c r="BE126" s="100"/>
      <c r="BF126" s="100"/>
      <c r="BG126" s="100"/>
      <c r="BH126" s="103"/>
    </row>
    <row r="127" spans="1:60" s="170" customFormat="1" ht="15.75" x14ac:dyDescent="0.2">
      <c r="A127" s="18" t="s">
        <v>158</v>
      </c>
      <c r="B127" s="19" t="s">
        <v>90</v>
      </c>
      <c r="C127" s="93" t="s">
        <v>159</v>
      </c>
      <c r="D127" s="128">
        <f t="shared" ref="D127:AI127" si="152">SUM(D128:D132)</f>
        <v>1739823</v>
      </c>
      <c r="E127" s="128">
        <f t="shared" si="152"/>
        <v>1739823</v>
      </c>
      <c r="F127" s="221">
        <f>SUM(F128:F132)</f>
        <v>0</v>
      </c>
      <c r="G127" s="141">
        <f t="shared" si="152"/>
        <v>0</v>
      </c>
      <c r="H127" s="141">
        <f t="shared" si="152"/>
        <v>0</v>
      </c>
      <c r="I127" s="141">
        <f t="shared" si="152"/>
        <v>0</v>
      </c>
      <c r="J127" s="141">
        <f t="shared" si="152"/>
        <v>0</v>
      </c>
      <c r="K127" s="141">
        <f t="shared" si="152"/>
        <v>0</v>
      </c>
      <c r="L127" s="141">
        <f t="shared" si="152"/>
        <v>0</v>
      </c>
      <c r="M127" s="141">
        <f t="shared" si="152"/>
        <v>0</v>
      </c>
      <c r="N127" s="141">
        <f t="shared" si="152"/>
        <v>0</v>
      </c>
      <c r="O127" s="141">
        <f t="shared" si="152"/>
        <v>0</v>
      </c>
      <c r="P127" s="141">
        <f t="shared" si="152"/>
        <v>0</v>
      </c>
      <c r="Q127" s="141">
        <f t="shared" si="152"/>
        <v>0</v>
      </c>
      <c r="R127" s="141">
        <f t="shared" si="152"/>
        <v>0</v>
      </c>
      <c r="S127" s="141">
        <f t="shared" si="152"/>
        <v>0</v>
      </c>
      <c r="T127" s="141">
        <f t="shared" si="152"/>
        <v>0</v>
      </c>
      <c r="U127" s="141">
        <f t="shared" si="152"/>
        <v>0</v>
      </c>
      <c r="V127" s="141">
        <f t="shared" si="152"/>
        <v>0</v>
      </c>
      <c r="W127" s="141">
        <f t="shared" si="152"/>
        <v>0</v>
      </c>
      <c r="X127" s="141">
        <f t="shared" si="152"/>
        <v>0</v>
      </c>
      <c r="Y127" s="141">
        <f t="shared" si="152"/>
        <v>0</v>
      </c>
      <c r="Z127" s="141">
        <f t="shared" si="152"/>
        <v>0</v>
      </c>
      <c r="AA127" s="141">
        <f t="shared" si="152"/>
        <v>0</v>
      </c>
      <c r="AB127" s="141">
        <f t="shared" si="152"/>
        <v>0</v>
      </c>
      <c r="AC127" s="141">
        <f t="shared" si="152"/>
        <v>0</v>
      </c>
      <c r="AD127" s="141">
        <f t="shared" si="152"/>
        <v>0</v>
      </c>
      <c r="AE127" s="141">
        <f t="shared" si="152"/>
        <v>130000</v>
      </c>
      <c r="AF127" s="141">
        <f t="shared" si="152"/>
        <v>0</v>
      </c>
      <c r="AG127" s="141">
        <f t="shared" si="152"/>
        <v>50000</v>
      </c>
      <c r="AH127" s="141">
        <f t="shared" si="152"/>
        <v>0</v>
      </c>
      <c r="AI127" s="141">
        <f t="shared" si="152"/>
        <v>0</v>
      </c>
      <c r="AJ127" s="141">
        <f t="shared" ref="AJ127:BH127" si="153">SUM(AJ128:AJ132)</f>
        <v>0</v>
      </c>
      <c r="AK127" s="141">
        <f t="shared" si="153"/>
        <v>0</v>
      </c>
      <c r="AL127" s="141">
        <f t="shared" si="153"/>
        <v>0</v>
      </c>
      <c r="AM127" s="141">
        <f t="shared" si="153"/>
        <v>0</v>
      </c>
      <c r="AN127" s="141">
        <f t="shared" si="153"/>
        <v>0</v>
      </c>
      <c r="AO127" s="141">
        <f t="shared" si="153"/>
        <v>0</v>
      </c>
      <c r="AP127" s="141">
        <f t="shared" si="153"/>
        <v>0</v>
      </c>
      <c r="AQ127" s="141">
        <f t="shared" ref="AQ127" si="154">SUM(AQ128:AQ132)</f>
        <v>0</v>
      </c>
      <c r="AR127" s="141">
        <f t="shared" si="153"/>
        <v>80000</v>
      </c>
      <c r="AS127" s="141">
        <f t="shared" si="153"/>
        <v>1609823</v>
      </c>
      <c r="AT127" s="141">
        <f t="shared" si="153"/>
        <v>0</v>
      </c>
      <c r="AU127" s="141">
        <f t="shared" si="153"/>
        <v>0</v>
      </c>
      <c r="AV127" s="141">
        <f t="shared" si="153"/>
        <v>0</v>
      </c>
      <c r="AW127" s="141">
        <f>SUM(AW128:AW132)</f>
        <v>0</v>
      </c>
      <c r="AX127" s="141">
        <f t="shared" si="153"/>
        <v>0</v>
      </c>
      <c r="AY127" s="141">
        <f t="shared" si="153"/>
        <v>1609823</v>
      </c>
      <c r="AZ127" s="141">
        <f t="shared" si="153"/>
        <v>0</v>
      </c>
      <c r="BA127" s="141">
        <f t="shared" si="153"/>
        <v>0</v>
      </c>
      <c r="BB127" s="141">
        <f t="shared" si="153"/>
        <v>0</v>
      </c>
      <c r="BC127" s="141">
        <f t="shared" si="153"/>
        <v>0</v>
      </c>
      <c r="BD127" s="141">
        <f t="shared" si="153"/>
        <v>0</v>
      </c>
      <c r="BE127" s="141">
        <f t="shared" si="153"/>
        <v>0</v>
      </c>
      <c r="BF127" s="141">
        <f t="shared" si="153"/>
        <v>0</v>
      </c>
      <c r="BG127" s="141">
        <f t="shared" si="153"/>
        <v>0</v>
      </c>
      <c r="BH127" s="202">
        <f t="shared" si="153"/>
        <v>0</v>
      </c>
    </row>
    <row r="128" spans="1:60" s="170" customFormat="1" ht="17.100000000000001" customHeight="1" x14ac:dyDescent="0.2">
      <c r="A128" s="23"/>
      <c r="B128" s="19" t="s">
        <v>156</v>
      </c>
      <c r="C128" s="93" t="s">
        <v>160</v>
      </c>
      <c r="D128" s="99">
        <f>F128+G128+H128+N128+P128+Q128+R128+AE128+AS128+BB128</f>
        <v>1460869</v>
      </c>
      <c r="E128" s="99">
        <f>F128+G128+H128+O128+N128+P128+Q128+S128+AE128+AS128+BB128+BE128+BG128+BH128</f>
        <v>1460869</v>
      </c>
      <c r="F128" s="104"/>
      <c r="G128" s="101"/>
      <c r="H128" s="101">
        <f>SUM(I128:M128)</f>
        <v>0</v>
      </c>
      <c r="I128" s="100"/>
      <c r="J128" s="100"/>
      <c r="K128" s="100"/>
      <c r="L128" s="100"/>
      <c r="M128" s="100"/>
      <c r="N128" s="101"/>
      <c r="O128" s="101"/>
      <c r="P128" s="101"/>
      <c r="Q128" s="101"/>
      <c r="R128" s="101">
        <f>T128+U128+W128+Y128+AA128+AB128+AC128</f>
        <v>0</v>
      </c>
      <c r="S128" s="101">
        <f t="shared" ref="S128:S129" si="155">T128+V128+X128+Z128+AA128+AB128+AD128</f>
        <v>0</v>
      </c>
      <c r="T128" s="100"/>
      <c r="U128" s="102"/>
      <c r="V128" s="102"/>
      <c r="W128" s="100"/>
      <c r="X128" s="100"/>
      <c r="Y128" s="100"/>
      <c r="Z128" s="100"/>
      <c r="AA128" s="100"/>
      <c r="AB128" s="100"/>
      <c r="AC128" s="100"/>
      <c r="AD128" s="100"/>
      <c r="AE128" s="101">
        <f>SUM(AF128:AR128)</f>
        <v>0</v>
      </c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1">
        <f>SUM(AT128:AZ128)</f>
        <v>1460869</v>
      </c>
      <c r="AT128" s="100"/>
      <c r="AU128" s="100"/>
      <c r="AV128" s="100"/>
      <c r="AW128" s="100"/>
      <c r="AX128" s="100"/>
      <c r="AY128" s="100">
        <v>1460869</v>
      </c>
      <c r="AZ128" s="100"/>
      <c r="BA128" s="100"/>
      <c r="BB128" s="100"/>
      <c r="BC128" s="100"/>
      <c r="BD128" s="100"/>
      <c r="BE128" s="100"/>
      <c r="BF128" s="100"/>
      <c r="BG128" s="100"/>
      <c r="BH128" s="103"/>
    </row>
    <row r="129" spans="1:60" s="170" customFormat="1" ht="17.100000000000001" customHeight="1" x14ac:dyDescent="0.2">
      <c r="A129" s="23"/>
      <c r="B129" s="19" t="s">
        <v>156</v>
      </c>
      <c r="C129" s="93" t="s">
        <v>161</v>
      </c>
      <c r="D129" s="99">
        <f>F129+G129+H129+N129+P129+Q129+R129+AE129+AS129+BB129</f>
        <v>129748</v>
      </c>
      <c r="E129" s="99">
        <f>F129+G129+H129+O129+N129+P129+Q129+S129+AE129+AS129+BB129+BE129+BG129+BH129</f>
        <v>129748</v>
      </c>
      <c r="F129" s="104"/>
      <c r="G129" s="101"/>
      <c r="H129" s="101">
        <f>SUM(I129:M129)</f>
        <v>0</v>
      </c>
      <c r="I129" s="100"/>
      <c r="J129" s="100"/>
      <c r="K129" s="100"/>
      <c r="L129" s="100"/>
      <c r="M129" s="100"/>
      <c r="N129" s="101"/>
      <c r="O129" s="101"/>
      <c r="P129" s="101"/>
      <c r="Q129" s="101"/>
      <c r="R129" s="101">
        <f>T129+U129+W129+Y129+AA129+AB129+AC129</f>
        <v>0</v>
      </c>
      <c r="S129" s="101">
        <f t="shared" si="155"/>
        <v>0</v>
      </c>
      <c r="T129" s="100"/>
      <c r="U129" s="102"/>
      <c r="V129" s="102"/>
      <c r="W129" s="100"/>
      <c r="X129" s="100"/>
      <c r="Y129" s="100"/>
      <c r="Z129" s="100"/>
      <c r="AA129" s="100"/>
      <c r="AB129" s="100"/>
      <c r="AC129" s="100"/>
      <c r="AD129" s="100"/>
      <c r="AE129" s="101">
        <f>SUM(AF129:AR129)</f>
        <v>0</v>
      </c>
      <c r="AF129" s="100"/>
      <c r="AG129" s="100"/>
      <c r="AH129" s="100"/>
      <c r="AI129" s="100"/>
      <c r="AJ129" s="100"/>
      <c r="AK129" s="100"/>
      <c r="AL129" s="100"/>
      <c r="AM129" s="100"/>
      <c r="AN129" s="100"/>
      <c r="AO129" s="100"/>
      <c r="AP129" s="100"/>
      <c r="AQ129" s="100"/>
      <c r="AR129" s="100"/>
      <c r="AS129" s="101">
        <f>SUM(AT129:AZ129)</f>
        <v>129748</v>
      </c>
      <c r="AT129" s="100"/>
      <c r="AU129" s="100"/>
      <c r="AV129" s="100"/>
      <c r="AW129" s="100"/>
      <c r="AX129" s="100"/>
      <c r="AY129" s="100">
        <v>129748</v>
      </c>
      <c r="AZ129" s="100"/>
      <c r="BA129" s="100"/>
      <c r="BB129" s="100"/>
      <c r="BC129" s="100"/>
      <c r="BD129" s="100"/>
      <c r="BE129" s="100"/>
      <c r="BF129" s="100"/>
      <c r="BG129" s="100"/>
      <c r="BH129" s="103"/>
    </row>
    <row r="130" spans="1:60" s="170" customFormat="1" ht="28.5" x14ac:dyDescent="0.2">
      <c r="A130" s="23"/>
      <c r="B130" s="19" t="s">
        <v>156</v>
      </c>
      <c r="C130" s="137" t="s">
        <v>306</v>
      </c>
      <c r="D130" s="99">
        <f>F130+G130+H130+N130+P130+Q130+R130+AE130+AS130+BB130</f>
        <v>19206</v>
      </c>
      <c r="E130" s="99">
        <f>F130+G130+H130+O130+N130+P130+Q130+S130+AE130+AS130+BB130+BE130+BG130+BH130</f>
        <v>19206</v>
      </c>
      <c r="F130" s="104"/>
      <c r="G130" s="101"/>
      <c r="H130" s="101">
        <f>SUM(I130:M130)</f>
        <v>0</v>
      </c>
      <c r="I130" s="100"/>
      <c r="J130" s="100"/>
      <c r="K130" s="100"/>
      <c r="L130" s="100"/>
      <c r="M130" s="100"/>
      <c r="N130" s="101"/>
      <c r="O130" s="101"/>
      <c r="P130" s="101"/>
      <c r="Q130" s="101"/>
      <c r="R130" s="101">
        <f>T130+U130+W130+Y130+AA130+AB130+AC130</f>
        <v>0</v>
      </c>
      <c r="S130" s="101">
        <f>T130+V130+X130+Z130+AA130+AB130+AD130</f>
        <v>0</v>
      </c>
      <c r="T130" s="100"/>
      <c r="U130" s="102"/>
      <c r="V130" s="102"/>
      <c r="W130" s="100"/>
      <c r="X130" s="100"/>
      <c r="Y130" s="100"/>
      <c r="Z130" s="100"/>
      <c r="AA130" s="100"/>
      <c r="AB130" s="100"/>
      <c r="AC130" s="100"/>
      <c r="AD130" s="100"/>
      <c r="AE130" s="101">
        <f>SUM(AF130:AR130)</f>
        <v>0</v>
      </c>
      <c r="AF130" s="100"/>
      <c r="AG130" s="100"/>
      <c r="AH130" s="100"/>
      <c r="AI130" s="100"/>
      <c r="AJ130" s="100"/>
      <c r="AK130" s="100"/>
      <c r="AL130" s="100"/>
      <c r="AM130" s="100"/>
      <c r="AN130" s="100"/>
      <c r="AO130" s="100"/>
      <c r="AP130" s="100"/>
      <c r="AQ130" s="100"/>
      <c r="AR130" s="100"/>
      <c r="AS130" s="101">
        <f>SUM(AT130:AZ130)</f>
        <v>19206</v>
      </c>
      <c r="AT130" s="100"/>
      <c r="AU130" s="100"/>
      <c r="AV130" s="100"/>
      <c r="AW130" s="100"/>
      <c r="AX130" s="100"/>
      <c r="AY130" s="100">
        <v>19206</v>
      </c>
      <c r="AZ130" s="100"/>
      <c r="BA130" s="100"/>
      <c r="BB130" s="100"/>
      <c r="BC130" s="100"/>
      <c r="BD130" s="100"/>
      <c r="BE130" s="100"/>
      <c r="BF130" s="100"/>
      <c r="BG130" s="100"/>
      <c r="BH130" s="103"/>
    </row>
    <row r="131" spans="1:60" s="170" customFormat="1" ht="17.100000000000001" customHeight="1" x14ac:dyDescent="0.2">
      <c r="A131" s="23"/>
      <c r="B131" s="19" t="s">
        <v>156</v>
      </c>
      <c r="C131" s="93" t="s">
        <v>162</v>
      </c>
      <c r="D131" s="99">
        <f>F131+G131+H131+N131+P131+Q131+R131+AE131+AS131+BB131</f>
        <v>80000</v>
      </c>
      <c r="E131" s="99">
        <f>F131+G131+H131+O131+N131+P131+Q131+S131+AE131+AS131+BB131+BE131+BG131+BH131</f>
        <v>80000</v>
      </c>
      <c r="F131" s="104"/>
      <c r="G131" s="101"/>
      <c r="H131" s="101">
        <f>SUM(I131:M131)</f>
        <v>0</v>
      </c>
      <c r="I131" s="100"/>
      <c r="J131" s="100"/>
      <c r="K131" s="100"/>
      <c r="L131" s="100"/>
      <c r="M131" s="100"/>
      <c r="N131" s="101"/>
      <c r="O131" s="101"/>
      <c r="P131" s="101"/>
      <c r="Q131" s="101"/>
      <c r="R131" s="101">
        <f>T131+U131+W131+Y131+AA131+AB131+AC131</f>
        <v>0</v>
      </c>
      <c r="S131" s="101">
        <f>T131+V131+X131+Z131+AA131+AB131+AD131</f>
        <v>0</v>
      </c>
      <c r="T131" s="100"/>
      <c r="U131" s="102"/>
      <c r="V131" s="102"/>
      <c r="W131" s="100"/>
      <c r="X131" s="100"/>
      <c r="Y131" s="100"/>
      <c r="Z131" s="100"/>
      <c r="AA131" s="100"/>
      <c r="AB131" s="100"/>
      <c r="AC131" s="100"/>
      <c r="AD131" s="100"/>
      <c r="AE131" s="101">
        <f>SUM(AF131:AR131)</f>
        <v>80000</v>
      </c>
      <c r="AF131" s="100"/>
      <c r="AG131" s="100"/>
      <c r="AH131" s="100"/>
      <c r="AI131" s="100"/>
      <c r="AJ131" s="100"/>
      <c r="AK131" s="100"/>
      <c r="AL131" s="100"/>
      <c r="AM131" s="100"/>
      <c r="AN131" s="100"/>
      <c r="AO131" s="100"/>
      <c r="AP131" s="100"/>
      <c r="AQ131" s="100"/>
      <c r="AR131" s="100">
        <v>80000</v>
      </c>
      <c r="AS131" s="101">
        <f>SUM(AT131:AZ131)</f>
        <v>0</v>
      </c>
      <c r="AT131" s="100"/>
      <c r="AU131" s="100"/>
      <c r="AV131" s="100"/>
      <c r="AW131" s="100"/>
      <c r="AX131" s="100"/>
      <c r="AY131" s="100"/>
      <c r="AZ131" s="100"/>
      <c r="BA131" s="100"/>
      <c r="BB131" s="100"/>
      <c r="BC131" s="100"/>
      <c r="BD131" s="100"/>
      <c r="BE131" s="100"/>
      <c r="BF131" s="100"/>
      <c r="BG131" s="100"/>
      <c r="BH131" s="103"/>
    </row>
    <row r="132" spans="1:60" s="170" customFormat="1" ht="17.100000000000001" customHeight="1" x14ac:dyDescent="0.2">
      <c r="A132" s="23"/>
      <c r="B132" s="19" t="s">
        <v>156</v>
      </c>
      <c r="C132" s="93" t="s">
        <v>311</v>
      </c>
      <c r="D132" s="99">
        <f>F132+G132+H132+N132+P132+Q132+R132+AE132+AS132+BB132</f>
        <v>50000</v>
      </c>
      <c r="E132" s="99">
        <f>F132+G132+H132+O132+N132+P132+Q132+S132+AE132+AS132+BB132+BE132+BG132+BH132</f>
        <v>50000</v>
      </c>
      <c r="F132" s="104"/>
      <c r="G132" s="101"/>
      <c r="H132" s="101">
        <f>SUM(I132:M132)</f>
        <v>0</v>
      </c>
      <c r="I132" s="100"/>
      <c r="J132" s="100"/>
      <c r="K132" s="100"/>
      <c r="L132" s="100"/>
      <c r="M132" s="100"/>
      <c r="N132" s="101"/>
      <c r="O132" s="101"/>
      <c r="P132" s="101"/>
      <c r="Q132" s="101"/>
      <c r="R132" s="101">
        <f>T132+U132+W132+Y132+AA132+AB132+AC132</f>
        <v>0</v>
      </c>
      <c r="S132" s="101">
        <f>T132+V132+X132+Z132+AA132+AB132+AD132</f>
        <v>0</v>
      </c>
      <c r="T132" s="100"/>
      <c r="U132" s="102"/>
      <c r="V132" s="102"/>
      <c r="W132" s="100"/>
      <c r="X132" s="100"/>
      <c r="Y132" s="100"/>
      <c r="Z132" s="100"/>
      <c r="AA132" s="100"/>
      <c r="AB132" s="100"/>
      <c r="AC132" s="100"/>
      <c r="AD132" s="100"/>
      <c r="AE132" s="101">
        <f>SUM(AF132:AR132)</f>
        <v>50000</v>
      </c>
      <c r="AF132" s="100"/>
      <c r="AG132" s="100">
        <v>50000</v>
      </c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1">
        <f>SUM(AT132:AZ132)</f>
        <v>0</v>
      </c>
      <c r="AT132" s="100"/>
      <c r="AU132" s="100"/>
      <c r="AV132" s="100"/>
      <c r="AW132" s="100"/>
      <c r="AX132" s="100"/>
      <c r="AY132" s="100"/>
      <c r="AZ132" s="100"/>
      <c r="BA132" s="100"/>
      <c r="BB132" s="100"/>
      <c r="BC132" s="100"/>
      <c r="BD132" s="100"/>
      <c r="BE132" s="100"/>
      <c r="BF132" s="100"/>
      <c r="BG132" s="100"/>
      <c r="BH132" s="103"/>
    </row>
    <row r="133" spans="1:60" s="3" customFormat="1" ht="15.75" customHeight="1" x14ac:dyDescent="0.2">
      <c r="A133" s="18" t="s">
        <v>163</v>
      </c>
      <c r="B133" s="19" t="s">
        <v>90</v>
      </c>
      <c r="C133" s="93" t="s">
        <v>164</v>
      </c>
      <c r="D133" s="128">
        <f>D134</f>
        <v>441779</v>
      </c>
      <c r="E133" s="128">
        <f>E134</f>
        <v>441779</v>
      </c>
      <c r="F133" s="104">
        <f t="shared" ref="F133:G133" si="156">F134</f>
        <v>0</v>
      </c>
      <c r="G133" s="101">
        <f t="shared" si="156"/>
        <v>0</v>
      </c>
      <c r="H133" s="101">
        <f t="shared" ref="H133:M133" si="157">H134</f>
        <v>0</v>
      </c>
      <c r="I133" s="101">
        <f t="shared" si="157"/>
        <v>0</v>
      </c>
      <c r="J133" s="101">
        <f t="shared" si="157"/>
        <v>0</v>
      </c>
      <c r="K133" s="101">
        <f t="shared" si="157"/>
        <v>0</v>
      </c>
      <c r="L133" s="101">
        <f t="shared" si="157"/>
        <v>0</v>
      </c>
      <c r="M133" s="101">
        <f t="shared" si="157"/>
        <v>0</v>
      </c>
      <c r="N133" s="101"/>
      <c r="O133" s="101"/>
      <c r="P133" s="101"/>
      <c r="Q133" s="101"/>
      <c r="R133" s="101">
        <f t="shared" ref="R133:AD133" si="158">R134</f>
        <v>441779</v>
      </c>
      <c r="S133" s="101">
        <f t="shared" si="158"/>
        <v>441779</v>
      </c>
      <c r="T133" s="101">
        <f t="shared" si="158"/>
        <v>0</v>
      </c>
      <c r="U133" s="101">
        <f t="shared" si="158"/>
        <v>0</v>
      </c>
      <c r="V133" s="101">
        <f t="shared" si="158"/>
        <v>0</v>
      </c>
      <c r="W133" s="101">
        <f t="shared" si="158"/>
        <v>0</v>
      </c>
      <c r="X133" s="101">
        <f t="shared" si="158"/>
        <v>0</v>
      </c>
      <c r="Y133" s="101">
        <f t="shared" si="158"/>
        <v>0</v>
      </c>
      <c r="Z133" s="101">
        <f t="shared" si="158"/>
        <v>0</v>
      </c>
      <c r="AA133" s="101">
        <f t="shared" si="158"/>
        <v>0</v>
      </c>
      <c r="AB133" s="101">
        <f t="shared" si="158"/>
        <v>441779</v>
      </c>
      <c r="AC133" s="101">
        <f t="shared" si="158"/>
        <v>0</v>
      </c>
      <c r="AD133" s="101">
        <f t="shared" si="158"/>
        <v>0</v>
      </c>
      <c r="AE133" s="101">
        <f>AF133+AG133+AI133+AJ133+AK133+AL133+AM133+AN133+AP133+AR133</f>
        <v>0</v>
      </c>
      <c r="AF133" s="101">
        <f t="shared" ref="AF133:AU133" si="159">AF134</f>
        <v>0</v>
      </c>
      <c r="AG133" s="101">
        <f t="shared" si="159"/>
        <v>0</v>
      </c>
      <c r="AH133" s="101">
        <f t="shared" si="159"/>
        <v>0</v>
      </c>
      <c r="AI133" s="101">
        <f t="shared" si="159"/>
        <v>0</v>
      </c>
      <c r="AJ133" s="101">
        <f t="shared" si="159"/>
        <v>0</v>
      </c>
      <c r="AK133" s="101">
        <f t="shared" si="159"/>
        <v>0</v>
      </c>
      <c r="AL133" s="101">
        <f t="shared" si="159"/>
        <v>0</v>
      </c>
      <c r="AM133" s="101">
        <f t="shared" si="159"/>
        <v>0</v>
      </c>
      <c r="AN133" s="101">
        <f t="shared" si="159"/>
        <v>0</v>
      </c>
      <c r="AO133" s="101">
        <f t="shared" si="159"/>
        <v>0</v>
      </c>
      <c r="AP133" s="101">
        <f t="shared" si="159"/>
        <v>0</v>
      </c>
      <c r="AQ133" s="101">
        <f t="shared" si="159"/>
        <v>0</v>
      </c>
      <c r="AR133" s="101">
        <f t="shared" si="159"/>
        <v>0</v>
      </c>
      <c r="AS133" s="101">
        <f t="shared" si="159"/>
        <v>0</v>
      </c>
      <c r="AT133" s="101">
        <f t="shared" si="159"/>
        <v>0</v>
      </c>
      <c r="AU133" s="101">
        <f t="shared" si="159"/>
        <v>0</v>
      </c>
      <c r="AV133" s="101"/>
      <c r="AW133" s="101"/>
      <c r="AX133" s="101"/>
      <c r="AY133" s="101">
        <f>AY134</f>
        <v>0</v>
      </c>
      <c r="AZ133" s="101">
        <f>AZ134</f>
        <v>0</v>
      </c>
      <c r="BA133" s="101"/>
      <c r="BB133" s="101">
        <f>BB134</f>
        <v>0</v>
      </c>
      <c r="BC133" s="100"/>
      <c r="BD133" s="100"/>
      <c r="BE133" s="101"/>
      <c r="BF133" s="101"/>
      <c r="BG133" s="100"/>
      <c r="BH133" s="106"/>
    </row>
    <row r="134" spans="1:60" s="170" customFormat="1" ht="18" customHeight="1" thickBot="1" x14ac:dyDescent="0.25">
      <c r="A134" s="23"/>
      <c r="B134" s="19" t="s">
        <v>165</v>
      </c>
      <c r="C134" s="93" t="s">
        <v>166</v>
      </c>
      <c r="D134" s="99">
        <f>F134+G134+H134+N134+P134+Q134+R134+AE134+AS134+BB134</f>
        <v>441779</v>
      </c>
      <c r="E134" s="99">
        <f>F134+G134+H134+O134+N134+P134+Q134+S134+AE134+AS134+BB134+BE134+BG134+BH134</f>
        <v>441779</v>
      </c>
      <c r="F134" s="104"/>
      <c r="G134" s="101"/>
      <c r="H134" s="101">
        <f>SUM(I134:M134)</f>
        <v>0</v>
      </c>
      <c r="I134" s="100"/>
      <c r="J134" s="100"/>
      <c r="K134" s="100"/>
      <c r="L134" s="100"/>
      <c r="M134" s="100"/>
      <c r="N134" s="101"/>
      <c r="O134" s="101"/>
      <c r="P134" s="101"/>
      <c r="Q134" s="101"/>
      <c r="R134" s="101">
        <f>T134+U134+W134+Y134+AA134+AB134+AC134</f>
        <v>441779</v>
      </c>
      <c r="S134" s="101">
        <f t="shared" ref="S134" si="160">T134+V134+X134+Z134+AA134+AB134+AD134</f>
        <v>441779</v>
      </c>
      <c r="T134" s="100"/>
      <c r="U134" s="102"/>
      <c r="V134" s="102"/>
      <c r="W134" s="100"/>
      <c r="X134" s="100"/>
      <c r="Y134" s="100"/>
      <c r="Z134" s="100"/>
      <c r="AA134" s="100"/>
      <c r="AB134" s="100">
        <v>441779</v>
      </c>
      <c r="AC134" s="100"/>
      <c r="AD134" s="100"/>
      <c r="AE134" s="101">
        <f>SUM(AF134:AR134)</f>
        <v>0</v>
      </c>
      <c r="AF134" s="100"/>
      <c r="AG134" s="100"/>
      <c r="AH134" s="100"/>
      <c r="AI134" s="100"/>
      <c r="AJ134" s="100"/>
      <c r="AK134" s="100"/>
      <c r="AL134" s="100"/>
      <c r="AM134" s="100"/>
      <c r="AN134" s="100"/>
      <c r="AO134" s="100"/>
      <c r="AP134" s="100"/>
      <c r="AQ134" s="100"/>
      <c r="AR134" s="100"/>
      <c r="AS134" s="101">
        <f>SUM(AT134:AZ134)</f>
        <v>0</v>
      </c>
      <c r="AT134" s="100"/>
      <c r="AU134" s="100"/>
      <c r="AV134" s="100"/>
      <c r="AW134" s="100"/>
      <c r="AX134" s="100"/>
      <c r="AY134" s="100"/>
      <c r="AZ134" s="100"/>
      <c r="BA134" s="100"/>
      <c r="BB134" s="100"/>
      <c r="BC134" s="100"/>
      <c r="BD134" s="100"/>
      <c r="BE134" s="100"/>
      <c r="BF134" s="100"/>
      <c r="BG134" s="100"/>
      <c r="BH134" s="103"/>
    </row>
    <row r="135" spans="1:60" s="3" customFormat="1" ht="16.5" hidden="1" customHeight="1" thickBot="1" x14ac:dyDescent="0.25">
      <c r="A135" s="45"/>
      <c r="B135" s="46"/>
      <c r="C135" s="204"/>
      <c r="D135" s="108">
        <f>F135+G135+H135+N135+P135+Q135+R135+AE135+AS135+BB135</f>
        <v>0</v>
      </c>
      <c r="E135" s="108">
        <f>G135+H135+I135+O135+Q135+R135+S135+AF135+AT135+BC135</f>
        <v>0</v>
      </c>
      <c r="F135" s="223"/>
      <c r="G135" s="110"/>
      <c r="H135" s="110"/>
      <c r="I135" s="127"/>
      <c r="J135" s="127"/>
      <c r="K135" s="110"/>
      <c r="L135" s="110"/>
      <c r="M135" s="110"/>
      <c r="N135" s="110"/>
      <c r="O135" s="110"/>
      <c r="P135" s="110"/>
      <c r="Q135" s="110"/>
      <c r="R135" s="110">
        <f>T135+U135+W135+Y135+AA135+AB135+AC135</f>
        <v>0</v>
      </c>
      <c r="S135" s="101">
        <f t="shared" ref="S135" si="161">V135+X135+Z135+AA135+AB135+AD135</f>
        <v>0</v>
      </c>
      <c r="T135" s="110"/>
      <c r="U135" s="111"/>
      <c r="V135" s="111"/>
      <c r="W135" s="110"/>
      <c r="X135" s="110"/>
      <c r="Y135" s="110"/>
      <c r="Z135" s="110"/>
      <c r="AA135" s="110"/>
      <c r="AB135" s="110"/>
      <c r="AC135" s="110"/>
      <c r="AD135" s="110"/>
      <c r="AE135" s="110">
        <f>AF135+AG135+AI135+AJ135+AK135+AL135+AM135+AN135+AP135+AR135</f>
        <v>0</v>
      </c>
      <c r="AF135" s="110"/>
      <c r="AG135" s="110"/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>
        <f>SUM(AT135:AZ135)</f>
        <v>0</v>
      </c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2"/>
      <c r="BD135" s="112"/>
      <c r="BE135" s="110"/>
      <c r="BF135" s="110"/>
      <c r="BG135" s="112"/>
      <c r="BH135" s="113"/>
    </row>
    <row r="136" spans="1:60" s="3" customFormat="1" ht="18.95" customHeight="1" thickBot="1" x14ac:dyDescent="0.25">
      <c r="A136" s="28" t="s">
        <v>53</v>
      </c>
      <c r="B136" s="26" t="s">
        <v>90</v>
      </c>
      <c r="C136" s="114" t="s">
        <v>54</v>
      </c>
      <c r="D136" s="115">
        <f t="shared" ref="D136:AI136" si="162">D137+D139+D141+D143+D145+D167</f>
        <v>11008235</v>
      </c>
      <c r="E136" s="115">
        <f t="shared" si="162"/>
        <v>9729517</v>
      </c>
      <c r="F136" s="228">
        <f t="shared" si="162"/>
        <v>0</v>
      </c>
      <c r="G136" s="135">
        <f t="shared" si="162"/>
        <v>0</v>
      </c>
      <c r="H136" s="135">
        <f t="shared" si="162"/>
        <v>4296336</v>
      </c>
      <c r="I136" s="135">
        <f t="shared" si="162"/>
        <v>0</v>
      </c>
      <c r="J136" s="135">
        <f t="shared" si="162"/>
        <v>95000</v>
      </c>
      <c r="K136" s="135">
        <f t="shared" si="162"/>
        <v>3972943</v>
      </c>
      <c r="L136" s="135">
        <f t="shared" si="162"/>
        <v>70720</v>
      </c>
      <c r="M136" s="135">
        <f t="shared" si="162"/>
        <v>157673</v>
      </c>
      <c r="N136" s="135">
        <f t="shared" si="162"/>
        <v>0</v>
      </c>
      <c r="O136" s="135">
        <f t="shared" si="162"/>
        <v>0</v>
      </c>
      <c r="P136" s="135">
        <f t="shared" si="162"/>
        <v>0</v>
      </c>
      <c r="Q136" s="135">
        <f t="shared" si="162"/>
        <v>16200</v>
      </c>
      <c r="R136" s="135">
        <f t="shared" si="162"/>
        <v>40047</v>
      </c>
      <c r="S136" s="135">
        <f t="shared" si="162"/>
        <v>3242</v>
      </c>
      <c r="T136" s="135">
        <f t="shared" si="162"/>
        <v>0</v>
      </c>
      <c r="U136" s="135">
        <f t="shared" si="162"/>
        <v>13497</v>
      </c>
      <c r="V136" s="135">
        <f t="shared" si="162"/>
        <v>0</v>
      </c>
      <c r="W136" s="135">
        <f t="shared" si="162"/>
        <v>19150</v>
      </c>
      <c r="X136" s="135">
        <f t="shared" si="162"/>
        <v>0</v>
      </c>
      <c r="Y136" s="135">
        <f t="shared" si="162"/>
        <v>4158</v>
      </c>
      <c r="Z136" s="135">
        <f t="shared" si="162"/>
        <v>0</v>
      </c>
      <c r="AA136" s="135">
        <f t="shared" si="162"/>
        <v>3242</v>
      </c>
      <c r="AB136" s="135">
        <f t="shared" si="162"/>
        <v>0</v>
      </c>
      <c r="AC136" s="135">
        <f t="shared" si="162"/>
        <v>0</v>
      </c>
      <c r="AD136" s="135">
        <f t="shared" si="162"/>
        <v>0</v>
      </c>
      <c r="AE136" s="135">
        <f t="shared" si="162"/>
        <v>2595548</v>
      </c>
      <c r="AF136" s="135">
        <f t="shared" si="162"/>
        <v>15000</v>
      </c>
      <c r="AG136" s="135">
        <f t="shared" si="162"/>
        <v>150000</v>
      </c>
      <c r="AH136" s="135">
        <f t="shared" si="162"/>
        <v>196648</v>
      </c>
      <c r="AI136" s="135">
        <f t="shared" si="162"/>
        <v>19112</v>
      </c>
      <c r="AJ136" s="135">
        <f t="shared" ref="AJ136:BH136" si="163">AJ137+AJ139+AJ141+AJ143+AJ145+AJ167</f>
        <v>0</v>
      </c>
      <c r="AK136" s="135">
        <f t="shared" si="163"/>
        <v>0</v>
      </c>
      <c r="AL136" s="135">
        <f t="shared" si="163"/>
        <v>0</v>
      </c>
      <c r="AM136" s="135">
        <f t="shared" si="163"/>
        <v>0</v>
      </c>
      <c r="AN136" s="135">
        <f t="shared" si="163"/>
        <v>0</v>
      </c>
      <c r="AO136" s="135">
        <f t="shared" si="163"/>
        <v>18249</v>
      </c>
      <c r="AP136" s="135">
        <f t="shared" si="163"/>
        <v>20527</v>
      </c>
      <c r="AQ136" s="135">
        <f t="shared" ref="AQ136" si="164">AQ137+AQ139+AQ141+AQ143+AQ145+AQ167</f>
        <v>30000</v>
      </c>
      <c r="AR136" s="135">
        <f t="shared" si="163"/>
        <v>2176012</v>
      </c>
      <c r="AS136" s="135">
        <f t="shared" si="163"/>
        <v>3136870</v>
      </c>
      <c r="AT136" s="135">
        <f t="shared" si="163"/>
        <v>0</v>
      </c>
      <c r="AU136" s="135">
        <f t="shared" si="163"/>
        <v>3136870</v>
      </c>
      <c r="AV136" s="135">
        <f t="shared" si="163"/>
        <v>0</v>
      </c>
      <c r="AW136" s="135">
        <f t="shared" si="163"/>
        <v>0</v>
      </c>
      <c r="AX136" s="135">
        <f t="shared" si="163"/>
        <v>0</v>
      </c>
      <c r="AY136" s="135">
        <f t="shared" si="163"/>
        <v>0</v>
      </c>
      <c r="AZ136" s="135">
        <f t="shared" si="163"/>
        <v>0</v>
      </c>
      <c r="BA136" s="135">
        <f t="shared" si="163"/>
        <v>0</v>
      </c>
      <c r="BB136" s="135">
        <f t="shared" si="163"/>
        <v>353556</v>
      </c>
      <c r="BC136" s="135">
        <f t="shared" si="163"/>
        <v>0</v>
      </c>
      <c r="BD136" s="135">
        <f t="shared" si="163"/>
        <v>0</v>
      </c>
      <c r="BE136" s="135">
        <f t="shared" si="163"/>
        <v>0</v>
      </c>
      <c r="BF136" s="135">
        <f t="shared" si="163"/>
        <v>0</v>
      </c>
      <c r="BG136" s="135">
        <f t="shared" si="163"/>
        <v>0</v>
      </c>
      <c r="BH136" s="136">
        <f t="shared" si="163"/>
        <v>539678</v>
      </c>
    </row>
    <row r="137" spans="1:60" s="170" customFormat="1" ht="20.100000000000001" customHeight="1" x14ac:dyDescent="0.2">
      <c r="A137" s="18" t="s">
        <v>230</v>
      </c>
      <c r="B137" s="72"/>
      <c r="C137" s="142" t="s">
        <v>224</v>
      </c>
      <c r="D137" s="169">
        <f>D138</f>
        <v>53187</v>
      </c>
      <c r="E137" s="169">
        <f>E138</f>
        <v>53187</v>
      </c>
      <c r="F137" s="219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>
        <f>AE138</f>
        <v>53187</v>
      </c>
      <c r="AF137" s="95"/>
      <c r="AG137" s="95"/>
      <c r="AH137" s="95"/>
      <c r="AI137" s="95"/>
      <c r="AJ137" s="95"/>
      <c r="AK137" s="95"/>
      <c r="AL137" s="95"/>
      <c r="AM137" s="95"/>
      <c r="AN137" s="95"/>
      <c r="AO137" s="95"/>
      <c r="AP137" s="95"/>
      <c r="AQ137" s="95"/>
      <c r="AR137" s="95">
        <f>AR138</f>
        <v>53187</v>
      </c>
      <c r="AS137" s="95"/>
      <c r="AT137" s="95"/>
      <c r="AU137" s="95"/>
      <c r="AV137" s="95"/>
      <c r="AW137" s="95"/>
      <c r="AX137" s="95"/>
      <c r="AY137" s="95"/>
      <c r="AZ137" s="95"/>
      <c r="BA137" s="95"/>
      <c r="BB137" s="95"/>
      <c r="BC137" s="97"/>
      <c r="BD137" s="97"/>
      <c r="BE137" s="95"/>
      <c r="BF137" s="95"/>
      <c r="BG137" s="95"/>
      <c r="BH137" s="98"/>
    </row>
    <row r="138" spans="1:60" s="170" customFormat="1" ht="15.75" x14ac:dyDescent="0.2">
      <c r="A138" s="57"/>
      <c r="B138" s="22" t="s">
        <v>180</v>
      </c>
      <c r="C138" s="250" t="s">
        <v>225</v>
      </c>
      <c r="D138" s="99">
        <f>AE138</f>
        <v>53187</v>
      </c>
      <c r="E138" s="99">
        <f>F138+G138+H138+O138+N138+P138+Q138+S138+AE138+AS138+BB138+BE138+BG138+BH138</f>
        <v>53187</v>
      </c>
      <c r="F138" s="104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>
        <f t="shared" ref="S138" si="165">T138+V138+X138+Z138+AA138+AB138+AD138</f>
        <v>0</v>
      </c>
      <c r="T138" s="101"/>
      <c r="U138" s="101"/>
      <c r="V138" s="101"/>
      <c r="W138" s="101"/>
      <c r="X138" s="101"/>
      <c r="Y138" s="101"/>
      <c r="Z138" s="101"/>
      <c r="AA138" s="101"/>
      <c r="AB138" s="101"/>
      <c r="AC138" s="101"/>
      <c r="AD138" s="101"/>
      <c r="AE138" s="101">
        <f>AR138</f>
        <v>53187</v>
      </c>
      <c r="AF138" s="101"/>
      <c r="AG138" s="101"/>
      <c r="AH138" s="101"/>
      <c r="AI138" s="101"/>
      <c r="AJ138" s="101"/>
      <c r="AK138" s="101"/>
      <c r="AL138" s="101"/>
      <c r="AM138" s="101"/>
      <c r="AN138" s="101"/>
      <c r="AO138" s="101"/>
      <c r="AP138" s="101"/>
      <c r="AQ138" s="101"/>
      <c r="AR138" s="247">
        <f>19000+34187</f>
        <v>53187</v>
      </c>
      <c r="AS138" s="101"/>
      <c r="AT138" s="101"/>
      <c r="AU138" s="101"/>
      <c r="AV138" s="101"/>
      <c r="AW138" s="101"/>
      <c r="AX138" s="101"/>
      <c r="AY138" s="101"/>
      <c r="AZ138" s="101"/>
      <c r="BA138" s="101"/>
      <c r="BB138" s="101"/>
      <c r="BC138" s="100"/>
      <c r="BD138" s="100"/>
      <c r="BE138" s="101"/>
      <c r="BF138" s="101"/>
      <c r="BG138" s="101"/>
      <c r="BH138" s="106"/>
    </row>
    <row r="139" spans="1:60" s="170" customFormat="1" ht="19.5" customHeight="1" x14ac:dyDescent="0.2">
      <c r="A139" s="57" t="s">
        <v>226</v>
      </c>
      <c r="B139" s="22"/>
      <c r="C139" s="107" t="s">
        <v>227</v>
      </c>
      <c r="D139" s="128">
        <f>D140</f>
        <v>360775</v>
      </c>
      <c r="E139" s="128">
        <f>E140</f>
        <v>360775</v>
      </c>
      <c r="F139" s="104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  <c r="AA139" s="101"/>
      <c r="AB139" s="101"/>
      <c r="AC139" s="101"/>
      <c r="AD139" s="101"/>
      <c r="AE139" s="101">
        <f>AE140</f>
        <v>360775</v>
      </c>
      <c r="AF139" s="101"/>
      <c r="AG139" s="101"/>
      <c r="AH139" s="101"/>
      <c r="AI139" s="101"/>
      <c r="AJ139" s="101"/>
      <c r="AK139" s="101"/>
      <c r="AL139" s="101"/>
      <c r="AM139" s="101"/>
      <c r="AN139" s="101"/>
      <c r="AO139" s="101"/>
      <c r="AP139" s="101"/>
      <c r="AQ139" s="101"/>
      <c r="AR139" s="101">
        <f>AR140</f>
        <v>360775</v>
      </c>
      <c r="AS139" s="101"/>
      <c r="AT139" s="101"/>
      <c r="AU139" s="101"/>
      <c r="AV139" s="101"/>
      <c r="AW139" s="101"/>
      <c r="AX139" s="101"/>
      <c r="AY139" s="101"/>
      <c r="AZ139" s="101"/>
      <c r="BA139" s="101"/>
      <c r="BB139" s="101"/>
      <c r="BC139" s="100"/>
      <c r="BD139" s="100"/>
      <c r="BE139" s="101"/>
      <c r="BF139" s="101"/>
      <c r="BG139" s="101"/>
      <c r="BH139" s="106"/>
    </row>
    <row r="140" spans="1:60" s="170" customFormat="1" ht="15.75" x14ac:dyDescent="0.2">
      <c r="A140" s="57"/>
      <c r="B140" s="22" t="s">
        <v>180</v>
      </c>
      <c r="C140" s="250" t="s">
        <v>228</v>
      </c>
      <c r="D140" s="99">
        <f>AE140</f>
        <v>360775</v>
      </c>
      <c r="E140" s="99">
        <f>F140+G140+H140+O140+N140+P140+Q140+S140+AE140+AS140+BB140+BE140+BG140+BH140</f>
        <v>360775</v>
      </c>
      <c r="F140" s="104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>
        <f t="shared" ref="S140" si="166">T140+V140+X140+Z140+AA140+AB140+AD140</f>
        <v>0</v>
      </c>
      <c r="T140" s="101"/>
      <c r="U140" s="101"/>
      <c r="V140" s="101"/>
      <c r="W140" s="101"/>
      <c r="X140" s="101"/>
      <c r="Y140" s="101"/>
      <c r="Z140" s="101"/>
      <c r="AA140" s="101"/>
      <c r="AB140" s="101"/>
      <c r="AC140" s="101"/>
      <c r="AD140" s="101"/>
      <c r="AE140" s="101">
        <f>AR140</f>
        <v>360775</v>
      </c>
      <c r="AF140" s="101"/>
      <c r="AG140" s="101"/>
      <c r="AH140" s="101"/>
      <c r="AI140" s="101"/>
      <c r="AJ140" s="101"/>
      <c r="AK140" s="101"/>
      <c r="AL140" s="101"/>
      <c r="AM140" s="101"/>
      <c r="AN140" s="101"/>
      <c r="AO140" s="101"/>
      <c r="AP140" s="101"/>
      <c r="AQ140" s="101"/>
      <c r="AR140" s="247">
        <f>19000+341775</f>
        <v>360775</v>
      </c>
      <c r="AS140" s="101"/>
      <c r="AT140" s="101"/>
      <c r="AU140" s="101"/>
      <c r="AV140" s="101"/>
      <c r="AW140" s="101"/>
      <c r="AX140" s="101"/>
      <c r="AY140" s="101"/>
      <c r="AZ140" s="101"/>
      <c r="BA140" s="101"/>
      <c r="BB140" s="101"/>
      <c r="BC140" s="100"/>
      <c r="BD140" s="100"/>
      <c r="BE140" s="101"/>
      <c r="BF140" s="101"/>
      <c r="BG140" s="101"/>
      <c r="BH140" s="106"/>
    </row>
    <row r="141" spans="1:60" s="170" customFormat="1" ht="20.100000000000001" customHeight="1" x14ac:dyDescent="0.2">
      <c r="A141" s="57" t="s">
        <v>167</v>
      </c>
      <c r="B141" s="22" t="s">
        <v>90</v>
      </c>
      <c r="C141" s="107" t="s">
        <v>55</v>
      </c>
      <c r="D141" s="128">
        <f>D142</f>
        <v>633023</v>
      </c>
      <c r="E141" s="128">
        <f>E142</f>
        <v>633023</v>
      </c>
      <c r="F141" s="104">
        <f t="shared" ref="F141:G141" si="167">F142</f>
        <v>0</v>
      </c>
      <c r="G141" s="101">
        <f t="shared" si="167"/>
        <v>0</v>
      </c>
      <c r="H141" s="101">
        <f t="shared" ref="H141:Q141" si="168">H142</f>
        <v>0</v>
      </c>
      <c r="I141" s="101">
        <f t="shared" si="168"/>
        <v>0</v>
      </c>
      <c r="J141" s="101">
        <f t="shared" si="168"/>
        <v>0</v>
      </c>
      <c r="K141" s="101">
        <f t="shared" si="168"/>
        <v>0</v>
      </c>
      <c r="L141" s="101">
        <f t="shared" si="168"/>
        <v>0</v>
      </c>
      <c r="M141" s="101">
        <f t="shared" si="168"/>
        <v>0</v>
      </c>
      <c r="N141" s="101">
        <f t="shared" si="168"/>
        <v>0</v>
      </c>
      <c r="O141" s="101">
        <f t="shared" si="168"/>
        <v>0</v>
      </c>
      <c r="P141" s="101">
        <f t="shared" si="168"/>
        <v>0</v>
      </c>
      <c r="Q141" s="101">
        <f t="shared" si="168"/>
        <v>0</v>
      </c>
      <c r="R141" s="101">
        <f>T141+U141+W141+Y141+AA141+AB141+AC141</f>
        <v>0</v>
      </c>
      <c r="S141" s="101">
        <f>S142</f>
        <v>0</v>
      </c>
      <c r="T141" s="101">
        <f t="shared" ref="T141:AD141" si="169">T142</f>
        <v>0</v>
      </c>
      <c r="U141" s="101">
        <f t="shared" si="169"/>
        <v>0</v>
      </c>
      <c r="V141" s="101">
        <f t="shared" si="169"/>
        <v>0</v>
      </c>
      <c r="W141" s="101">
        <f t="shared" si="169"/>
        <v>0</v>
      </c>
      <c r="X141" s="101">
        <f t="shared" si="169"/>
        <v>0</v>
      </c>
      <c r="Y141" s="101">
        <f t="shared" si="169"/>
        <v>0</v>
      </c>
      <c r="Z141" s="101">
        <f t="shared" si="169"/>
        <v>0</v>
      </c>
      <c r="AA141" s="101">
        <f t="shared" si="169"/>
        <v>0</v>
      </c>
      <c r="AB141" s="101">
        <f t="shared" si="169"/>
        <v>0</v>
      </c>
      <c r="AC141" s="101">
        <f t="shared" si="169"/>
        <v>0</v>
      </c>
      <c r="AD141" s="101">
        <f t="shared" si="169"/>
        <v>0</v>
      </c>
      <c r="AE141" s="101">
        <f>AF141+AG141+AI141+AJ141+AK141+AL141+AM141+AN141+AP141+AR141</f>
        <v>633023</v>
      </c>
      <c r="AF141" s="101">
        <f t="shared" ref="AF141:AU141" si="170">AF142</f>
        <v>0</v>
      </c>
      <c r="AG141" s="101">
        <f t="shared" si="170"/>
        <v>0</v>
      </c>
      <c r="AH141" s="101">
        <f t="shared" si="170"/>
        <v>0</v>
      </c>
      <c r="AI141" s="101">
        <f t="shared" si="170"/>
        <v>0</v>
      </c>
      <c r="AJ141" s="101">
        <f t="shared" si="170"/>
        <v>0</v>
      </c>
      <c r="AK141" s="101">
        <f t="shared" si="170"/>
        <v>0</v>
      </c>
      <c r="AL141" s="101">
        <f t="shared" si="170"/>
        <v>0</v>
      </c>
      <c r="AM141" s="101">
        <f t="shared" si="170"/>
        <v>0</v>
      </c>
      <c r="AN141" s="101">
        <f t="shared" si="170"/>
        <v>0</v>
      </c>
      <c r="AO141" s="101">
        <f t="shared" si="170"/>
        <v>0</v>
      </c>
      <c r="AP141" s="101">
        <f t="shared" si="170"/>
        <v>0</v>
      </c>
      <c r="AQ141" s="101">
        <f t="shared" si="170"/>
        <v>0</v>
      </c>
      <c r="AR141" s="101">
        <f>AR142</f>
        <v>633023</v>
      </c>
      <c r="AS141" s="101">
        <f t="shared" si="170"/>
        <v>0</v>
      </c>
      <c r="AT141" s="101">
        <f t="shared" si="170"/>
        <v>0</v>
      </c>
      <c r="AU141" s="101">
        <f t="shared" si="170"/>
        <v>0</v>
      </c>
      <c r="AV141" s="101"/>
      <c r="AW141" s="101"/>
      <c r="AX141" s="101"/>
      <c r="AY141" s="101">
        <f>AY142</f>
        <v>0</v>
      </c>
      <c r="AZ141" s="101">
        <f>AZ142</f>
        <v>0</v>
      </c>
      <c r="BA141" s="101"/>
      <c r="BB141" s="101">
        <f>BB142</f>
        <v>0</v>
      </c>
      <c r="BC141" s="100"/>
      <c r="BD141" s="100"/>
      <c r="BE141" s="101"/>
      <c r="BF141" s="101"/>
      <c r="BG141" s="101"/>
      <c r="BH141" s="106"/>
    </row>
    <row r="142" spans="1:60" s="170" customFormat="1" ht="15.75" customHeight="1" x14ac:dyDescent="0.2">
      <c r="A142" s="23"/>
      <c r="B142" s="19" t="s">
        <v>168</v>
      </c>
      <c r="C142" s="93" t="s">
        <v>56</v>
      </c>
      <c r="D142" s="143">
        <f>F142+G142+H142+N142+P142+Q142+R142+AE142+AS142+BB142</f>
        <v>633023</v>
      </c>
      <c r="E142" s="99">
        <f>F142+G142+H142+O142+N142+P142+Q142+S142+AE142+AS142+BB142+BE142+BG142+BH142</f>
        <v>633023</v>
      </c>
      <c r="F142" s="104"/>
      <c r="G142" s="101"/>
      <c r="H142" s="101">
        <f>SUM(I142:M142)</f>
        <v>0</v>
      </c>
      <c r="I142" s="100"/>
      <c r="J142" s="100"/>
      <c r="K142" s="100"/>
      <c r="L142" s="100"/>
      <c r="M142" s="100"/>
      <c r="N142" s="101"/>
      <c r="O142" s="101"/>
      <c r="P142" s="101"/>
      <c r="Q142" s="101"/>
      <c r="R142" s="101">
        <f>T142+U142+W142+Y142+AA142+AB142+AC142</f>
        <v>0</v>
      </c>
      <c r="S142" s="101">
        <f t="shared" ref="S142" si="171">T142+V142+X142+Z142+AA142+AB142+AD142</f>
        <v>0</v>
      </c>
      <c r="T142" s="100"/>
      <c r="U142" s="102"/>
      <c r="V142" s="102"/>
      <c r="W142" s="100"/>
      <c r="X142" s="100"/>
      <c r="Y142" s="100"/>
      <c r="Z142" s="100"/>
      <c r="AA142" s="100"/>
      <c r="AB142" s="100"/>
      <c r="AC142" s="100"/>
      <c r="AD142" s="100"/>
      <c r="AE142" s="101">
        <f>SUM(AF142:AR142)</f>
        <v>633023</v>
      </c>
      <c r="AF142" s="100"/>
      <c r="AG142" s="100"/>
      <c r="AH142" s="100"/>
      <c r="AI142" s="100"/>
      <c r="AJ142" s="100"/>
      <c r="AK142" s="100"/>
      <c r="AL142" s="100"/>
      <c r="AM142" s="100"/>
      <c r="AN142" s="100"/>
      <c r="AO142" s="100"/>
      <c r="AP142" s="100"/>
      <c r="AQ142" s="100"/>
      <c r="AR142" s="100">
        <v>633023</v>
      </c>
      <c r="AS142" s="101">
        <f>SUM(AT142:AZ142)</f>
        <v>0</v>
      </c>
      <c r="AT142" s="100"/>
      <c r="AU142" s="100"/>
      <c r="AV142" s="100"/>
      <c r="AW142" s="100"/>
      <c r="AX142" s="100"/>
      <c r="AY142" s="100"/>
      <c r="AZ142" s="100"/>
      <c r="BA142" s="100"/>
      <c r="BB142" s="100"/>
      <c r="BC142" s="100"/>
      <c r="BD142" s="100"/>
      <c r="BE142" s="100"/>
      <c r="BF142" s="100"/>
      <c r="BG142" s="100"/>
      <c r="BH142" s="103"/>
    </row>
    <row r="143" spans="1:60" s="3" customFormat="1" ht="19.5" customHeight="1" x14ac:dyDescent="0.2">
      <c r="A143" s="18" t="s">
        <v>169</v>
      </c>
      <c r="B143" s="19"/>
      <c r="C143" s="93" t="s">
        <v>170</v>
      </c>
      <c r="D143" s="128">
        <f>D144</f>
        <v>695534</v>
      </c>
      <c r="E143" s="128">
        <f>E144</f>
        <v>0</v>
      </c>
      <c r="F143" s="104">
        <f t="shared" ref="F143:G143" si="172">F144</f>
        <v>0</v>
      </c>
      <c r="G143" s="101">
        <f t="shared" si="172"/>
        <v>0</v>
      </c>
      <c r="H143" s="101">
        <f t="shared" ref="H143:BF143" si="173">H144</f>
        <v>0</v>
      </c>
      <c r="I143" s="101">
        <f t="shared" si="173"/>
        <v>0</v>
      </c>
      <c r="J143" s="101">
        <f t="shared" si="173"/>
        <v>0</v>
      </c>
      <c r="K143" s="101">
        <f t="shared" si="173"/>
        <v>0</v>
      </c>
      <c r="L143" s="101">
        <f t="shared" si="173"/>
        <v>0</v>
      </c>
      <c r="M143" s="101">
        <f t="shared" si="173"/>
        <v>0</v>
      </c>
      <c r="N143" s="101">
        <f t="shared" si="173"/>
        <v>0</v>
      </c>
      <c r="O143" s="101">
        <f t="shared" si="173"/>
        <v>0</v>
      </c>
      <c r="P143" s="101">
        <f t="shared" si="173"/>
        <v>0</v>
      </c>
      <c r="Q143" s="101">
        <f t="shared" si="173"/>
        <v>0</v>
      </c>
      <c r="R143" s="101">
        <f t="shared" si="173"/>
        <v>0</v>
      </c>
      <c r="S143" s="101">
        <f t="shared" si="173"/>
        <v>0</v>
      </c>
      <c r="T143" s="101">
        <f t="shared" si="173"/>
        <v>0</v>
      </c>
      <c r="U143" s="101">
        <f>U144</f>
        <v>0</v>
      </c>
      <c r="V143" s="101"/>
      <c r="W143" s="101">
        <f t="shared" si="173"/>
        <v>0</v>
      </c>
      <c r="X143" s="101"/>
      <c r="Y143" s="101">
        <f t="shared" si="173"/>
        <v>0</v>
      </c>
      <c r="Z143" s="101"/>
      <c r="AA143" s="101">
        <f t="shared" si="173"/>
        <v>0</v>
      </c>
      <c r="AB143" s="101">
        <f t="shared" si="173"/>
        <v>0</v>
      </c>
      <c r="AC143" s="101">
        <f t="shared" si="173"/>
        <v>0</v>
      </c>
      <c r="AD143" s="101"/>
      <c r="AE143" s="101">
        <f>AE144</f>
        <v>695534</v>
      </c>
      <c r="AF143" s="101">
        <f t="shared" si="173"/>
        <v>0</v>
      </c>
      <c r="AG143" s="101">
        <f t="shared" si="173"/>
        <v>0</v>
      </c>
      <c r="AH143" s="101">
        <f t="shared" si="173"/>
        <v>0</v>
      </c>
      <c r="AI143" s="101">
        <f t="shared" si="173"/>
        <v>0</v>
      </c>
      <c r="AJ143" s="101">
        <f t="shared" si="173"/>
        <v>0</v>
      </c>
      <c r="AK143" s="101">
        <f t="shared" si="173"/>
        <v>0</v>
      </c>
      <c r="AL143" s="101">
        <f t="shared" si="173"/>
        <v>0</v>
      </c>
      <c r="AM143" s="101">
        <f t="shared" si="173"/>
        <v>0</v>
      </c>
      <c r="AN143" s="101">
        <f t="shared" si="173"/>
        <v>0</v>
      </c>
      <c r="AO143" s="101">
        <f t="shared" si="173"/>
        <v>0</v>
      </c>
      <c r="AP143" s="101">
        <f t="shared" si="173"/>
        <v>0</v>
      </c>
      <c r="AQ143" s="101">
        <f t="shared" si="173"/>
        <v>0</v>
      </c>
      <c r="AR143" s="101">
        <f t="shared" si="173"/>
        <v>695534</v>
      </c>
      <c r="AS143" s="101">
        <f t="shared" si="173"/>
        <v>0</v>
      </c>
      <c r="AT143" s="101">
        <f t="shared" si="173"/>
        <v>0</v>
      </c>
      <c r="AU143" s="101">
        <f t="shared" si="173"/>
        <v>0</v>
      </c>
      <c r="AV143" s="101">
        <f t="shared" si="173"/>
        <v>0</v>
      </c>
      <c r="AW143" s="101">
        <f>AW144</f>
        <v>0</v>
      </c>
      <c r="AX143" s="101">
        <f t="shared" si="173"/>
        <v>0</v>
      </c>
      <c r="AY143" s="101">
        <f t="shared" si="173"/>
        <v>0</v>
      </c>
      <c r="AZ143" s="101">
        <f t="shared" si="173"/>
        <v>0</v>
      </c>
      <c r="BA143" s="101"/>
      <c r="BB143" s="101">
        <f t="shared" si="173"/>
        <v>0</v>
      </c>
      <c r="BC143" s="100"/>
      <c r="BD143" s="100"/>
      <c r="BE143" s="101">
        <f t="shared" si="173"/>
        <v>0</v>
      </c>
      <c r="BF143" s="101">
        <f t="shared" si="173"/>
        <v>0</v>
      </c>
      <c r="BG143" s="101">
        <f>BG144</f>
        <v>0</v>
      </c>
      <c r="BH143" s="106">
        <f>BH144</f>
        <v>0</v>
      </c>
    </row>
    <row r="144" spans="1:60" s="3" customFormat="1" ht="15.75" customHeight="1" x14ac:dyDescent="0.2">
      <c r="A144" s="23"/>
      <c r="B144" s="19" t="s">
        <v>171</v>
      </c>
      <c r="C144" s="93" t="s">
        <v>170</v>
      </c>
      <c r="D144" s="99">
        <f>F144+G144+H144+N144+P144+Q144+R144+AE144+AS144+BB144</f>
        <v>695534</v>
      </c>
      <c r="E144" s="128">
        <f>G144+H144+I144+O144+Q144+R144+S144+AF144+AT144+BC144</f>
        <v>0</v>
      </c>
      <c r="F144" s="104"/>
      <c r="G144" s="101"/>
      <c r="H144" s="101"/>
      <c r="I144" s="100"/>
      <c r="J144" s="100"/>
      <c r="K144" s="100"/>
      <c r="L144" s="100"/>
      <c r="M144" s="100"/>
      <c r="N144" s="101"/>
      <c r="O144" s="101"/>
      <c r="P144" s="101"/>
      <c r="Q144" s="101"/>
      <c r="R144" s="101"/>
      <c r="S144" s="101"/>
      <c r="T144" s="100"/>
      <c r="U144" s="102"/>
      <c r="V144" s="102"/>
      <c r="W144" s="100"/>
      <c r="X144" s="100"/>
      <c r="Y144" s="100"/>
      <c r="Z144" s="100"/>
      <c r="AA144" s="100"/>
      <c r="AB144" s="100"/>
      <c r="AC144" s="100"/>
      <c r="AD144" s="100"/>
      <c r="AE144" s="101">
        <f>SUM(AF144:AR144)</f>
        <v>695534</v>
      </c>
      <c r="AF144" s="100"/>
      <c r="AG144" s="100"/>
      <c r="AH144" s="100"/>
      <c r="AI144" s="100"/>
      <c r="AJ144" s="100"/>
      <c r="AK144" s="100"/>
      <c r="AL144" s="100"/>
      <c r="AM144" s="100"/>
      <c r="AN144" s="100"/>
      <c r="AO144" s="100"/>
      <c r="AP144" s="100"/>
      <c r="AQ144" s="100"/>
      <c r="AR144" s="100">
        <v>695534</v>
      </c>
      <c r="AS144" s="101"/>
      <c r="AT144" s="100"/>
      <c r="AU144" s="100"/>
      <c r="AV144" s="100"/>
      <c r="AW144" s="100"/>
      <c r="AX144" s="100"/>
      <c r="AY144" s="100"/>
      <c r="AZ144" s="100"/>
      <c r="BA144" s="100"/>
      <c r="BB144" s="100"/>
      <c r="BC144" s="100"/>
      <c r="BD144" s="100"/>
      <c r="BE144" s="100"/>
      <c r="BF144" s="100"/>
      <c r="BG144" s="100"/>
      <c r="BH144" s="103"/>
    </row>
    <row r="145" spans="1:60" s="3" customFormat="1" ht="19.5" customHeight="1" x14ac:dyDescent="0.2">
      <c r="A145" s="18" t="s">
        <v>172</v>
      </c>
      <c r="B145" s="19" t="s">
        <v>90</v>
      </c>
      <c r="C145" s="93" t="s">
        <v>57</v>
      </c>
      <c r="D145" s="128">
        <f t="shared" ref="D145:AI145" si="174">D146+D159</f>
        <v>5588298</v>
      </c>
      <c r="E145" s="128">
        <f t="shared" si="174"/>
        <v>5544792</v>
      </c>
      <c r="F145" s="104">
        <f t="shared" si="174"/>
        <v>0</v>
      </c>
      <c r="G145" s="101">
        <f t="shared" si="174"/>
        <v>0</v>
      </c>
      <c r="H145" s="101">
        <f t="shared" si="174"/>
        <v>4295466</v>
      </c>
      <c r="I145" s="101">
        <f t="shared" si="174"/>
        <v>0</v>
      </c>
      <c r="J145" s="101">
        <f t="shared" si="174"/>
        <v>95000</v>
      </c>
      <c r="K145" s="101">
        <f t="shared" si="174"/>
        <v>3972943</v>
      </c>
      <c r="L145" s="101">
        <f t="shared" si="174"/>
        <v>70720</v>
      </c>
      <c r="M145" s="101">
        <f t="shared" si="174"/>
        <v>156803</v>
      </c>
      <c r="N145" s="101">
        <f t="shared" si="174"/>
        <v>0</v>
      </c>
      <c r="O145" s="101">
        <f t="shared" si="174"/>
        <v>0</v>
      </c>
      <c r="P145" s="101">
        <f t="shared" si="174"/>
        <v>0</v>
      </c>
      <c r="Q145" s="101">
        <f t="shared" si="174"/>
        <v>16200</v>
      </c>
      <c r="R145" s="101">
        <f t="shared" si="174"/>
        <v>40047</v>
      </c>
      <c r="S145" s="101">
        <f t="shared" si="174"/>
        <v>3242</v>
      </c>
      <c r="T145" s="101">
        <f t="shared" si="174"/>
        <v>0</v>
      </c>
      <c r="U145" s="101">
        <f t="shared" si="174"/>
        <v>13497</v>
      </c>
      <c r="V145" s="101">
        <f t="shared" si="174"/>
        <v>0</v>
      </c>
      <c r="W145" s="101">
        <f t="shared" si="174"/>
        <v>19150</v>
      </c>
      <c r="X145" s="101">
        <f t="shared" si="174"/>
        <v>0</v>
      </c>
      <c r="Y145" s="101">
        <f t="shared" si="174"/>
        <v>4158</v>
      </c>
      <c r="Z145" s="101">
        <f t="shared" si="174"/>
        <v>0</v>
      </c>
      <c r="AA145" s="101">
        <f t="shared" si="174"/>
        <v>3242</v>
      </c>
      <c r="AB145" s="101">
        <f t="shared" si="174"/>
        <v>0</v>
      </c>
      <c r="AC145" s="101">
        <f t="shared" si="174"/>
        <v>0</v>
      </c>
      <c r="AD145" s="101">
        <f t="shared" si="174"/>
        <v>0</v>
      </c>
      <c r="AE145" s="101">
        <f t="shared" si="174"/>
        <v>853029</v>
      </c>
      <c r="AF145" s="101">
        <f t="shared" si="174"/>
        <v>15000</v>
      </c>
      <c r="AG145" s="101">
        <f t="shared" si="174"/>
        <v>150000</v>
      </c>
      <c r="AH145" s="101">
        <f t="shared" si="174"/>
        <v>196648</v>
      </c>
      <c r="AI145" s="101">
        <f t="shared" si="174"/>
        <v>19112</v>
      </c>
      <c r="AJ145" s="101">
        <f t="shared" ref="AJ145:BH145" si="175">AJ146+AJ159</f>
        <v>0</v>
      </c>
      <c r="AK145" s="101">
        <f t="shared" si="175"/>
        <v>0</v>
      </c>
      <c r="AL145" s="101">
        <f t="shared" si="175"/>
        <v>0</v>
      </c>
      <c r="AM145" s="101">
        <f t="shared" si="175"/>
        <v>0</v>
      </c>
      <c r="AN145" s="101">
        <f t="shared" si="175"/>
        <v>0</v>
      </c>
      <c r="AO145" s="101">
        <f t="shared" si="175"/>
        <v>18249</v>
      </c>
      <c r="AP145" s="101">
        <f t="shared" si="175"/>
        <v>20527</v>
      </c>
      <c r="AQ145" s="101">
        <f t="shared" ref="AQ145" si="176">AQ146+AQ159</f>
        <v>30000</v>
      </c>
      <c r="AR145" s="101">
        <f t="shared" si="175"/>
        <v>433493</v>
      </c>
      <c r="AS145" s="101">
        <f t="shared" si="175"/>
        <v>0</v>
      </c>
      <c r="AT145" s="101">
        <f t="shared" si="175"/>
        <v>0</v>
      </c>
      <c r="AU145" s="101">
        <f t="shared" si="175"/>
        <v>0</v>
      </c>
      <c r="AV145" s="101">
        <f t="shared" si="175"/>
        <v>0</v>
      </c>
      <c r="AW145" s="101">
        <f t="shared" si="175"/>
        <v>0</v>
      </c>
      <c r="AX145" s="101">
        <f t="shared" si="175"/>
        <v>0</v>
      </c>
      <c r="AY145" s="101">
        <f t="shared" si="175"/>
        <v>0</v>
      </c>
      <c r="AZ145" s="101">
        <f t="shared" si="175"/>
        <v>0</v>
      </c>
      <c r="BA145" s="101">
        <f t="shared" si="175"/>
        <v>0</v>
      </c>
      <c r="BB145" s="101">
        <f t="shared" si="175"/>
        <v>353556</v>
      </c>
      <c r="BC145" s="101">
        <f t="shared" si="175"/>
        <v>0</v>
      </c>
      <c r="BD145" s="101">
        <f t="shared" si="175"/>
        <v>0</v>
      </c>
      <c r="BE145" s="101">
        <f t="shared" si="175"/>
        <v>0</v>
      </c>
      <c r="BF145" s="101">
        <f t="shared" si="175"/>
        <v>0</v>
      </c>
      <c r="BG145" s="101">
        <f t="shared" si="175"/>
        <v>0</v>
      </c>
      <c r="BH145" s="106">
        <f t="shared" si="175"/>
        <v>0</v>
      </c>
    </row>
    <row r="146" spans="1:60" s="3" customFormat="1" ht="15" customHeight="1" x14ac:dyDescent="0.2">
      <c r="A146" s="18"/>
      <c r="B146" s="19"/>
      <c r="C146" s="93" t="s">
        <v>54</v>
      </c>
      <c r="D146" s="128">
        <f>SUM(D147:D156)</f>
        <v>621222</v>
      </c>
      <c r="E146" s="128">
        <f>SUM(E147:E156)</f>
        <v>621222</v>
      </c>
      <c r="F146" s="104">
        <f t="shared" ref="F146:G146" si="177">SUM(F148:F153)</f>
        <v>0</v>
      </c>
      <c r="G146" s="101">
        <f t="shared" si="177"/>
        <v>0</v>
      </c>
      <c r="H146" s="101">
        <f t="shared" ref="H146:AD146" si="178">SUM(H148:H153)</f>
        <v>0</v>
      </c>
      <c r="I146" s="101">
        <f t="shared" si="178"/>
        <v>0</v>
      </c>
      <c r="J146" s="101">
        <f t="shared" si="178"/>
        <v>0</v>
      </c>
      <c r="K146" s="101">
        <f t="shared" si="178"/>
        <v>0</v>
      </c>
      <c r="L146" s="101">
        <f t="shared" si="178"/>
        <v>0</v>
      </c>
      <c r="M146" s="101">
        <f t="shared" si="178"/>
        <v>0</v>
      </c>
      <c r="N146" s="101">
        <f t="shared" si="178"/>
        <v>0</v>
      </c>
      <c r="O146" s="101">
        <f t="shared" si="178"/>
        <v>0</v>
      </c>
      <c r="P146" s="101">
        <f t="shared" si="178"/>
        <v>0</v>
      </c>
      <c r="Q146" s="101">
        <f t="shared" si="178"/>
        <v>0</v>
      </c>
      <c r="R146" s="101">
        <f t="shared" si="178"/>
        <v>0</v>
      </c>
      <c r="S146" s="101">
        <f t="shared" si="178"/>
        <v>0</v>
      </c>
      <c r="T146" s="101">
        <f t="shared" si="178"/>
        <v>0</v>
      </c>
      <c r="U146" s="101">
        <f t="shared" si="178"/>
        <v>0</v>
      </c>
      <c r="V146" s="101">
        <f t="shared" si="178"/>
        <v>0</v>
      </c>
      <c r="W146" s="101">
        <f t="shared" si="178"/>
        <v>0</v>
      </c>
      <c r="X146" s="101">
        <f t="shared" si="178"/>
        <v>0</v>
      </c>
      <c r="Y146" s="101">
        <f t="shared" si="178"/>
        <v>0</v>
      </c>
      <c r="Z146" s="101">
        <f t="shared" si="178"/>
        <v>0</v>
      </c>
      <c r="AA146" s="101">
        <f t="shared" si="178"/>
        <v>0</v>
      </c>
      <c r="AB146" s="101">
        <f t="shared" si="178"/>
        <v>0</v>
      </c>
      <c r="AC146" s="101">
        <f t="shared" si="178"/>
        <v>0</v>
      </c>
      <c r="AD146" s="101">
        <f t="shared" si="178"/>
        <v>0</v>
      </c>
      <c r="AE146" s="101">
        <f>AF146+AG146+AH146+AI146+AJ146+AK146+AL146+AM146+AN146+AP146+AR146+AO146</f>
        <v>591222</v>
      </c>
      <c r="AF146" s="101">
        <f t="shared" ref="AF146:AO146" si="179">SUM(AF148:AF153)</f>
        <v>0</v>
      </c>
      <c r="AG146" s="101">
        <f t="shared" si="179"/>
        <v>0</v>
      </c>
      <c r="AH146" s="101">
        <f t="shared" si="179"/>
        <v>196648</v>
      </c>
      <c r="AI146" s="101">
        <f t="shared" si="179"/>
        <v>0</v>
      </c>
      <c r="AJ146" s="101">
        <f t="shared" si="179"/>
        <v>0</v>
      </c>
      <c r="AK146" s="101">
        <f t="shared" si="179"/>
        <v>0</v>
      </c>
      <c r="AL146" s="101">
        <f t="shared" si="179"/>
        <v>0</v>
      </c>
      <c r="AM146" s="101">
        <f t="shared" si="179"/>
        <v>0</v>
      </c>
      <c r="AN146" s="101">
        <f t="shared" si="179"/>
        <v>0</v>
      </c>
      <c r="AO146" s="101">
        <f t="shared" si="179"/>
        <v>0</v>
      </c>
      <c r="AP146" s="101">
        <f>SUM(AP148:AP156)</f>
        <v>20527</v>
      </c>
      <c r="AQ146" s="101">
        <f>SUM(AQ148:AQ156)</f>
        <v>30000</v>
      </c>
      <c r="AR146" s="101">
        <f>SUM(AR147:AR156)</f>
        <v>374047</v>
      </c>
      <c r="AS146" s="101">
        <f>SUM(AS148:AS153)</f>
        <v>0</v>
      </c>
      <c r="AT146" s="101">
        <f>SUM(AT148:AT153)</f>
        <v>0</v>
      </c>
      <c r="AU146" s="101">
        <f>SUM(AU148:AU153)</f>
        <v>0</v>
      </c>
      <c r="AV146" s="101"/>
      <c r="AW146" s="101"/>
      <c r="AX146" s="101"/>
      <c r="AY146" s="101">
        <f>SUM(AY148:AY153)</f>
        <v>0</v>
      </c>
      <c r="AZ146" s="101">
        <f>SUM(AZ148:AZ153)</f>
        <v>0</v>
      </c>
      <c r="BA146" s="101"/>
      <c r="BB146" s="101">
        <f>SUM(BB148:BB153)</f>
        <v>0</v>
      </c>
      <c r="BC146" s="100"/>
      <c r="BD146" s="100"/>
      <c r="BE146" s="101">
        <f>SUM(BE148:BE153)</f>
        <v>0</v>
      </c>
      <c r="BF146" s="101">
        <f>SUM(BF148:BF153)</f>
        <v>0</v>
      </c>
      <c r="BG146" s="101">
        <f>SUM(BG148:BG153)</f>
        <v>0</v>
      </c>
      <c r="BH146" s="106">
        <f>SUM(BH148:BH153)</f>
        <v>0</v>
      </c>
    </row>
    <row r="147" spans="1:60" s="3" customFormat="1" ht="15.75" hidden="1" customHeight="1" x14ac:dyDescent="0.2">
      <c r="A147" s="18"/>
      <c r="B147" s="19" t="s">
        <v>173</v>
      </c>
      <c r="C147" s="93" t="s">
        <v>320</v>
      </c>
      <c r="D147" s="99">
        <f t="shared" ref="D147:D151" si="180">F147+G147+H147+N147+P147+Q147+R147+AE147+AS147+BB147</f>
        <v>0</v>
      </c>
      <c r="E147" s="99">
        <f>G147+H147+I147+O147+Q147+R147+S147+AE147+AT147+BC147</f>
        <v>0</v>
      </c>
      <c r="F147" s="104"/>
      <c r="G147" s="101"/>
      <c r="H147" s="101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1"/>
      <c r="AE147" s="101">
        <f>SUM(AF147:AR147)</f>
        <v>0</v>
      </c>
      <c r="AF147" s="101"/>
      <c r="AG147" s="101"/>
      <c r="AH147" s="101"/>
      <c r="AI147" s="101"/>
      <c r="AJ147" s="101"/>
      <c r="AK147" s="101"/>
      <c r="AL147" s="101"/>
      <c r="AM147" s="101"/>
      <c r="AN147" s="101"/>
      <c r="AO147" s="101"/>
      <c r="AP147" s="101"/>
      <c r="AQ147" s="101"/>
      <c r="AR147" s="100"/>
      <c r="AS147" s="101"/>
      <c r="AT147" s="101"/>
      <c r="AU147" s="101"/>
      <c r="AV147" s="101"/>
      <c r="AW147" s="101"/>
      <c r="AX147" s="101"/>
      <c r="AY147" s="101"/>
      <c r="AZ147" s="101"/>
      <c r="BA147" s="101"/>
      <c r="BB147" s="101"/>
      <c r="BC147" s="100"/>
      <c r="BD147" s="100"/>
      <c r="BE147" s="101"/>
      <c r="BF147" s="101"/>
      <c r="BG147" s="101"/>
      <c r="BH147" s="106"/>
    </row>
    <row r="148" spans="1:60" s="3" customFormat="1" ht="28.5" hidden="1" x14ac:dyDescent="0.2">
      <c r="A148" s="18"/>
      <c r="B148" s="19" t="s">
        <v>173</v>
      </c>
      <c r="C148" s="137" t="s">
        <v>316</v>
      </c>
      <c r="D148" s="99">
        <f t="shared" si="180"/>
        <v>0</v>
      </c>
      <c r="E148" s="99">
        <f t="shared" ref="E148:E156" si="181">F148+G148+H148+O148+N148+P148+Q148+S148+AE148+AS148+BB148+BE148+BG148+BH148</f>
        <v>0</v>
      </c>
      <c r="F148" s="104"/>
      <c r="G148" s="101"/>
      <c r="H148" s="101">
        <f>SUM(I148:M148)</f>
        <v>0</v>
      </c>
      <c r="I148" s="100"/>
      <c r="J148" s="100"/>
      <c r="K148" s="100"/>
      <c r="L148" s="100"/>
      <c r="M148" s="100"/>
      <c r="N148" s="101"/>
      <c r="O148" s="101"/>
      <c r="P148" s="101"/>
      <c r="Q148" s="101"/>
      <c r="R148" s="101">
        <f t="shared" ref="R148:R157" si="182">T148+U148+W148+Y148+AA148+AB148+AC148</f>
        <v>0</v>
      </c>
      <c r="S148" s="101">
        <f t="shared" ref="S148:S156" si="183">T148+V148+X148+Z148+AA148+AB148+AD148</f>
        <v>0</v>
      </c>
      <c r="T148" s="100"/>
      <c r="U148" s="102"/>
      <c r="V148" s="102"/>
      <c r="W148" s="100"/>
      <c r="X148" s="100"/>
      <c r="Y148" s="100"/>
      <c r="Z148" s="100"/>
      <c r="AA148" s="100"/>
      <c r="AB148" s="100"/>
      <c r="AC148" s="100"/>
      <c r="AD148" s="100"/>
      <c r="AE148" s="101">
        <f>SUM(AF148:AR148)</f>
        <v>0</v>
      </c>
      <c r="AF148" s="100"/>
      <c r="AG148" s="100"/>
      <c r="AH148" s="100"/>
      <c r="AI148" s="100"/>
      <c r="AJ148" s="100"/>
      <c r="AK148" s="100"/>
      <c r="AL148" s="100"/>
      <c r="AM148" s="100"/>
      <c r="AN148" s="100"/>
      <c r="AO148" s="100"/>
      <c r="AP148" s="100"/>
      <c r="AQ148" s="100"/>
      <c r="AR148" s="100"/>
      <c r="AS148" s="101">
        <f t="shared" ref="AS148:AS155" si="184">SUM(AT148:AZ148)</f>
        <v>0</v>
      </c>
      <c r="AT148" s="100"/>
      <c r="AU148" s="100"/>
      <c r="AV148" s="100"/>
      <c r="AW148" s="100"/>
      <c r="AX148" s="100"/>
      <c r="AY148" s="100"/>
      <c r="AZ148" s="100"/>
      <c r="BA148" s="100"/>
      <c r="BB148" s="100"/>
      <c r="BC148" s="100"/>
      <c r="BD148" s="100"/>
      <c r="BE148" s="100"/>
      <c r="BF148" s="100"/>
      <c r="BG148" s="100"/>
      <c r="BH148" s="103"/>
    </row>
    <row r="149" spans="1:60" s="3" customFormat="1" ht="15.75" customHeight="1" x14ac:dyDescent="0.2">
      <c r="A149" s="18"/>
      <c r="B149" s="19" t="s">
        <v>180</v>
      </c>
      <c r="C149" s="93" t="s">
        <v>281</v>
      </c>
      <c r="D149" s="99">
        <f t="shared" si="180"/>
        <v>196648</v>
      </c>
      <c r="E149" s="99">
        <f t="shared" si="181"/>
        <v>196648</v>
      </c>
      <c r="F149" s="104"/>
      <c r="G149" s="101"/>
      <c r="H149" s="101">
        <f>SUM(I149:M149)</f>
        <v>0</v>
      </c>
      <c r="I149" s="100"/>
      <c r="J149" s="100">
        <f>634344-634344</f>
        <v>0</v>
      </c>
      <c r="K149" s="100"/>
      <c r="L149" s="100"/>
      <c r="M149" s="100">
        <f>59362+44832+120776+93317-318287</f>
        <v>0</v>
      </c>
      <c r="N149" s="101"/>
      <c r="O149" s="101"/>
      <c r="P149" s="101"/>
      <c r="Q149" s="100"/>
      <c r="R149" s="101">
        <f t="shared" si="182"/>
        <v>0</v>
      </c>
      <c r="S149" s="101">
        <f t="shared" si="183"/>
        <v>0</v>
      </c>
      <c r="T149" s="100"/>
      <c r="U149" s="102"/>
      <c r="V149" s="102"/>
      <c r="W149" s="100"/>
      <c r="X149" s="100"/>
      <c r="Y149" s="100"/>
      <c r="Z149" s="100"/>
      <c r="AA149" s="100"/>
      <c r="AB149" s="100"/>
      <c r="AC149" s="100"/>
      <c r="AD149" s="100"/>
      <c r="AE149" s="101">
        <f>SUM(AF149:AR149)</f>
        <v>196648</v>
      </c>
      <c r="AF149" s="100"/>
      <c r="AG149" s="100"/>
      <c r="AH149" s="100">
        <v>196648</v>
      </c>
      <c r="AI149" s="100"/>
      <c r="AJ149" s="100"/>
      <c r="AK149" s="100"/>
      <c r="AL149" s="100"/>
      <c r="AM149" s="100"/>
      <c r="AN149" s="100"/>
      <c r="AO149" s="100"/>
      <c r="AP149" s="100"/>
      <c r="AQ149" s="100"/>
      <c r="AR149" s="100"/>
      <c r="AS149" s="101">
        <f t="shared" si="184"/>
        <v>0</v>
      </c>
      <c r="AT149" s="100"/>
      <c r="AU149" s="100"/>
      <c r="AV149" s="100"/>
      <c r="AW149" s="100"/>
      <c r="AX149" s="100"/>
      <c r="AY149" s="100"/>
      <c r="AZ149" s="100"/>
      <c r="BA149" s="100"/>
      <c r="BB149" s="100"/>
      <c r="BC149" s="100"/>
      <c r="BD149" s="100"/>
      <c r="BE149" s="100"/>
      <c r="BF149" s="100"/>
      <c r="BG149" s="100"/>
      <c r="BH149" s="103"/>
    </row>
    <row r="150" spans="1:60" s="3" customFormat="1" ht="28.5" customHeight="1" x14ac:dyDescent="0.2">
      <c r="A150" s="23"/>
      <c r="B150" s="19" t="s">
        <v>173</v>
      </c>
      <c r="C150" s="137" t="s">
        <v>174</v>
      </c>
      <c r="D150" s="99">
        <f t="shared" si="180"/>
        <v>165000</v>
      </c>
      <c r="E150" s="99">
        <f t="shared" si="181"/>
        <v>165000</v>
      </c>
      <c r="F150" s="104"/>
      <c r="G150" s="101"/>
      <c r="H150" s="101">
        <f>SUM(I150:M150)</f>
        <v>0</v>
      </c>
      <c r="I150" s="100"/>
      <c r="J150" s="100"/>
      <c r="K150" s="100"/>
      <c r="L150" s="100"/>
      <c r="M150" s="100"/>
      <c r="N150" s="101"/>
      <c r="O150" s="101"/>
      <c r="P150" s="101"/>
      <c r="Q150" s="101"/>
      <c r="R150" s="101">
        <f t="shared" si="182"/>
        <v>0</v>
      </c>
      <c r="S150" s="101">
        <f t="shared" si="183"/>
        <v>0</v>
      </c>
      <c r="T150" s="100"/>
      <c r="U150" s="102"/>
      <c r="V150" s="102"/>
      <c r="W150" s="100"/>
      <c r="X150" s="100"/>
      <c r="Y150" s="100"/>
      <c r="Z150" s="100"/>
      <c r="AA150" s="100"/>
      <c r="AB150" s="100"/>
      <c r="AC150" s="100"/>
      <c r="AD150" s="100"/>
      <c r="AE150" s="101">
        <f>SUM(AF150:AR150)</f>
        <v>165000</v>
      </c>
      <c r="AF150" s="100"/>
      <c r="AG150" s="100"/>
      <c r="AH150" s="100"/>
      <c r="AI150" s="100"/>
      <c r="AJ150" s="100"/>
      <c r="AK150" s="100"/>
      <c r="AL150" s="100"/>
      <c r="AM150" s="100"/>
      <c r="AN150" s="100"/>
      <c r="AO150" s="100"/>
      <c r="AP150" s="100"/>
      <c r="AQ150" s="100"/>
      <c r="AR150" s="100">
        <v>165000</v>
      </c>
      <c r="AS150" s="101">
        <f t="shared" si="184"/>
        <v>0</v>
      </c>
      <c r="AT150" s="100"/>
      <c r="AU150" s="100"/>
      <c r="AV150" s="100"/>
      <c r="AW150" s="100"/>
      <c r="AX150" s="100"/>
      <c r="AY150" s="100"/>
      <c r="AZ150" s="100"/>
      <c r="BA150" s="100"/>
      <c r="BB150" s="100"/>
      <c r="BC150" s="100"/>
      <c r="BD150" s="100"/>
      <c r="BE150" s="100"/>
      <c r="BF150" s="100"/>
      <c r="BG150" s="100"/>
      <c r="BH150" s="103"/>
    </row>
    <row r="151" spans="1:60" s="3" customFormat="1" ht="15.75" customHeight="1" x14ac:dyDescent="0.2">
      <c r="A151" s="23"/>
      <c r="B151" s="19" t="s">
        <v>173</v>
      </c>
      <c r="C151" s="107" t="s">
        <v>237</v>
      </c>
      <c r="D151" s="99">
        <f t="shared" si="180"/>
        <v>30000</v>
      </c>
      <c r="E151" s="99">
        <f t="shared" si="181"/>
        <v>30000</v>
      </c>
      <c r="F151" s="104"/>
      <c r="G151" s="101"/>
      <c r="H151" s="101">
        <f t="shared" ref="H151:H153" si="185">SUM(I151:M151)</f>
        <v>0</v>
      </c>
      <c r="I151" s="100"/>
      <c r="J151" s="100"/>
      <c r="K151" s="100"/>
      <c r="L151" s="100"/>
      <c r="M151" s="100"/>
      <c r="N151" s="101"/>
      <c r="O151" s="101"/>
      <c r="P151" s="101"/>
      <c r="Q151" s="101"/>
      <c r="R151" s="101">
        <f t="shared" si="182"/>
        <v>0</v>
      </c>
      <c r="S151" s="101">
        <f t="shared" si="183"/>
        <v>0</v>
      </c>
      <c r="T151" s="100"/>
      <c r="U151" s="102"/>
      <c r="V151" s="102"/>
      <c r="W151" s="100"/>
      <c r="X151" s="100"/>
      <c r="Y151" s="100"/>
      <c r="Z151" s="100"/>
      <c r="AA151" s="100"/>
      <c r="AB151" s="100"/>
      <c r="AC151" s="100"/>
      <c r="AD151" s="100"/>
      <c r="AE151" s="101">
        <f t="shared" ref="AE151:AE153" si="186">SUM(AF151:AR151)</f>
        <v>30000</v>
      </c>
      <c r="AF151" s="100"/>
      <c r="AG151" s="100"/>
      <c r="AH151" s="100"/>
      <c r="AI151" s="100"/>
      <c r="AJ151" s="100"/>
      <c r="AK151" s="100"/>
      <c r="AL151" s="100"/>
      <c r="AM151" s="100"/>
      <c r="AN151" s="100"/>
      <c r="AO151" s="100"/>
      <c r="AP151" s="100"/>
      <c r="AQ151" s="100">
        <v>30000</v>
      </c>
      <c r="AR151" s="100"/>
      <c r="AS151" s="101">
        <f t="shared" si="184"/>
        <v>0</v>
      </c>
      <c r="AT151" s="100"/>
      <c r="AU151" s="100"/>
      <c r="AV151" s="100"/>
      <c r="AW151" s="100"/>
      <c r="AX151" s="100"/>
      <c r="AY151" s="100"/>
      <c r="AZ151" s="100"/>
      <c r="BA151" s="100"/>
      <c r="BB151" s="100"/>
      <c r="BC151" s="100"/>
      <c r="BD151" s="100"/>
      <c r="BE151" s="100"/>
      <c r="BF151" s="100"/>
      <c r="BG151" s="100"/>
      <c r="BH151" s="103"/>
    </row>
    <row r="152" spans="1:60" s="3" customFormat="1" ht="15.75" customHeight="1" x14ac:dyDescent="0.2">
      <c r="A152" s="23"/>
      <c r="B152" s="19" t="s">
        <v>173</v>
      </c>
      <c r="C152" s="107" t="s">
        <v>239</v>
      </c>
      <c r="D152" s="99">
        <f>F152+G152+H152+N152+P152+Q152+R152+AE152+AS152+BB152+BE152</f>
        <v>115950</v>
      </c>
      <c r="E152" s="99">
        <f t="shared" si="181"/>
        <v>115950</v>
      </c>
      <c r="F152" s="104"/>
      <c r="G152" s="101"/>
      <c r="H152" s="101">
        <f t="shared" si="185"/>
        <v>0</v>
      </c>
      <c r="I152" s="100"/>
      <c r="J152" s="100"/>
      <c r="K152" s="100"/>
      <c r="L152" s="100"/>
      <c r="M152" s="100"/>
      <c r="N152" s="101"/>
      <c r="O152" s="101"/>
      <c r="P152" s="101"/>
      <c r="Q152" s="101"/>
      <c r="R152" s="101">
        <f t="shared" si="182"/>
        <v>0</v>
      </c>
      <c r="S152" s="101">
        <f t="shared" si="183"/>
        <v>0</v>
      </c>
      <c r="T152" s="100"/>
      <c r="U152" s="102"/>
      <c r="V152" s="102"/>
      <c r="W152" s="100"/>
      <c r="X152" s="100"/>
      <c r="Y152" s="100"/>
      <c r="Z152" s="100"/>
      <c r="AA152" s="100"/>
      <c r="AB152" s="100"/>
      <c r="AC152" s="100"/>
      <c r="AD152" s="100"/>
      <c r="AE152" s="101">
        <f t="shared" si="186"/>
        <v>115950</v>
      </c>
      <c r="AF152" s="100"/>
      <c r="AG152" s="100"/>
      <c r="AH152" s="100"/>
      <c r="AI152" s="100"/>
      <c r="AJ152" s="100"/>
      <c r="AK152" s="100"/>
      <c r="AL152" s="100"/>
      <c r="AM152" s="100"/>
      <c r="AN152" s="100"/>
      <c r="AO152" s="100"/>
      <c r="AP152" s="100"/>
      <c r="AQ152" s="100"/>
      <c r="AR152" s="100">
        <v>115950</v>
      </c>
      <c r="AS152" s="101">
        <f t="shared" si="184"/>
        <v>0</v>
      </c>
      <c r="AT152" s="100"/>
      <c r="AU152" s="100"/>
      <c r="AV152" s="100"/>
      <c r="AW152" s="100"/>
      <c r="AX152" s="100"/>
      <c r="AY152" s="100"/>
      <c r="AZ152" s="100"/>
      <c r="BA152" s="100"/>
      <c r="BB152" s="100"/>
      <c r="BC152" s="100"/>
      <c r="BD152" s="100"/>
      <c r="BE152" s="100"/>
      <c r="BF152" s="100"/>
      <c r="BG152" s="100"/>
      <c r="BH152" s="103"/>
    </row>
    <row r="153" spans="1:60" s="3" customFormat="1" ht="15.75" customHeight="1" x14ac:dyDescent="0.2">
      <c r="A153" s="23"/>
      <c r="B153" s="19" t="s">
        <v>173</v>
      </c>
      <c r="C153" s="93" t="s">
        <v>58</v>
      </c>
      <c r="D153" s="99">
        <f>F153+G153+H153+N153+P153+Q153+R153+AE153+AS153+BB153</f>
        <v>4811</v>
      </c>
      <c r="E153" s="99">
        <f t="shared" si="181"/>
        <v>4811</v>
      </c>
      <c r="F153" s="104"/>
      <c r="G153" s="101"/>
      <c r="H153" s="101">
        <f t="shared" si="185"/>
        <v>0</v>
      </c>
      <c r="I153" s="100"/>
      <c r="J153" s="100"/>
      <c r="K153" s="100"/>
      <c r="L153" s="100"/>
      <c r="M153" s="100"/>
      <c r="N153" s="101"/>
      <c r="O153" s="101"/>
      <c r="P153" s="101"/>
      <c r="Q153" s="101"/>
      <c r="R153" s="101">
        <f t="shared" si="182"/>
        <v>0</v>
      </c>
      <c r="S153" s="101">
        <f t="shared" si="183"/>
        <v>0</v>
      </c>
      <c r="T153" s="100"/>
      <c r="U153" s="102"/>
      <c r="V153" s="102"/>
      <c r="W153" s="100"/>
      <c r="X153" s="100"/>
      <c r="Y153" s="100"/>
      <c r="Z153" s="100"/>
      <c r="AA153" s="100"/>
      <c r="AB153" s="100"/>
      <c r="AC153" s="100"/>
      <c r="AD153" s="100"/>
      <c r="AE153" s="101">
        <f t="shared" si="186"/>
        <v>4811</v>
      </c>
      <c r="AF153" s="100"/>
      <c r="AG153" s="100"/>
      <c r="AH153" s="100"/>
      <c r="AI153" s="100"/>
      <c r="AJ153" s="100"/>
      <c r="AK153" s="100"/>
      <c r="AL153" s="100"/>
      <c r="AM153" s="100"/>
      <c r="AN153" s="100"/>
      <c r="AO153" s="100"/>
      <c r="AP153" s="100"/>
      <c r="AQ153" s="100"/>
      <c r="AR153" s="100">
        <v>4811</v>
      </c>
      <c r="AS153" s="101">
        <f t="shared" si="184"/>
        <v>0</v>
      </c>
      <c r="AT153" s="100"/>
      <c r="AU153" s="100"/>
      <c r="AV153" s="100"/>
      <c r="AW153" s="100"/>
      <c r="AX153" s="100"/>
      <c r="AY153" s="100"/>
      <c r="AZ153" s="100"/>
      <c r="BA153" s="100"/>
      <c r="BB153" s="100"/>
      <c r="BC153" s="100"/>
      <c r="BD153" s="100"/>
      <c r="BE153" s="100"/>
      <c r="BF153" s="100"/>
      <c r="BG153" s="100"/>
      <c r="BH153" s="103"/>
    </row>
    <row r="154" spans="1:60" s="3" customFormat="1" ht="15.75" customHeight="1" x14ac:dyDescent="0.2">
      <c r="A154" s="23"/>
      <c r="B154" s="19" t="s">
        <v>173</v>
      </c>
      <c r="C154" s="93" t="s">
        <v>238</v>
      </c>
      <c r="D154" s="99">
        <f>F154+G154+H154+N154+P154+Q154+R154+AE154+AS154+BB154</f>
        <v>20527</v>
      </c>
      <c r="E154" s="99">
        <f>F154+G154+H154+O154+N154+P154+Q154+S154+AE154+AS154+BB154+BE154+BG154+BH154</f>
        <v>20527</v>
      </c>
      <c r="F154" s="104"/>
      <c r="G154" s="101"/>
      <c r="H154" s="101">
        <f>SUM(I154:M154)</f>
        <v>0</v>
      </c>
      <c r="I154" s="100"/>
      <c r="J154" s="100"/>
      <c r="K154" s="100"/>
      <c r="L154" s="100"/>
      <c r="M154" s="100"/>
      <c r="N154" s="101"/>
      <c r="O154" s="101"/>
      <c r="P154" s="101"/>
      <c r="Q154" s="101"/>
      <c r="R154" s="101">
        <f>T154+U154+W154+Y154+AA154+AB154+AC154</f>
        <v>0</v>
      </c>
      <c r="S154" s="101">
        <f>T154+V154+X154+Z154+AA154+AB154+AD154</f>
        <v>0</v>
      </c>
      <c r="T154" s="100"/>
      <c r="U154" s="102"/>
      <c r="V154" s="102"/>
      <c r="W154" s="100"/>
      <c r="X154" s="100"/>
      <c r="Y154" s="100"/>
      <c r="Z154" s="100"/>
      <c r="AA154" s="100"/>
      <c r="AB154" s="100"/>
      <c r="AC154" s="100"/>
      <c r="AD154" s="100"/>
      <c r="AE154" s="101">
        <f>SUM(AF154:AR154)</f>
        <v>20527</v>
      </c>
      <c r="AF154" s="100"/>
      <c r="AG154" s="100"/>
      <c r="AH154" s="100"/>
      <c r="AI154" s="100"/>
      <c r="AJ154" s="100"/>
      <c r="AK154" s="100"/>
      <c r="AL154" s="100"/>
      <c r="AM154" s="100"/>
      <c r="AN154" s="100"/>
      <c r="AO154" s="100"/>
      <c r="AP154" s="100">
        <f>11218+9309</f>
        <v>20527</v>
      </c>
      <c r="AQ154" s="100"/>
      <c r="AR154" s="100"/>
      <c r="AS154" s="101">
        <f>SUM(AT154:AZ154)</f>
        <v>0</v>
      </c>
      <c r="AT154" s="100"/>
      <c r="AU154" s="100"/>
      <c r="AV154" s="100"/>
      <c r="AW154" s="100"/>
      <c r="AX154" s="100"/>
      <c r="AY154" s="100"/>
      <c r="AZ154" s="100"/>
      <c r="BA154" s="100"/>
      <c r="BB154" s="100"/>
      <c r="BC154" s="100"/>
      <c r="BD154" s="100"/>
      <c r="BE154" s="100"/>
      <c r="BF154" s="100"/>
      <c r="BG154" s="100"/>
      <c r="BH154" s="103"/>
    </row>
    <row r="155" spans="1:60" s="3" customFormat="1" ht="15.75" customHeight="1" x14ac:dyDescent="0.2">
      <c r="A155" s="23"/>
      <c r="B155" s="19" t="s">
        <v>173</v>
      </c>
      <c r="C155" s="93" t="s">
        <v>212</v>
      </c>
      <c r="D155" s="99">
        <f>F155+G155+H155+N155+P155+Q155+R155+AE155+AS155+BB155</f>
        <v>66530</v>
      </c>
      <c r="E155" s="99">
        <f t="shared" si="181"/>
        <v>66530</v>
      </c>
      <c r="F155" s="104"/>
      <c r="G155" s="101"/>
      <c r="H155" s="101">
        <f>SUM(I155:M155)</f>
        <v>0</v>
      </c>
      <c r="I155" s="100"/>
      <c r="J155" s="100"/>
      <c r="K155" s="100"/>
      <c r="L155" s="100"/>
      <c r="M155" s="100"/>
      <c r="N155" s="101"/>
      <c r="O155" s="101"/>
      <c r="P155" s="101"/>
      <c r="Q155" s="101"/>
      <c r="R155" s="101">
        <f t="shared" si="182"/>
        <v>0</v>
      </c>
      <c r="S155" s="101">
        <f t="shared" si="183"/>
        <v>0</v>
      </c>
      <c r="T155" s="100"/>
      <c r="U155" s="102"/>
      <c r="V155" s="102"/>
      <c r="W155" s="100"/>
      <c r="X155" s="100"/>
      <c r="Y155" s="100"/>
      <c r="Z155" s="100"/>
      <c r="AA155" s="100"/>
      <c r="AB155" s="100"/>
      <c r="AC155" s="100"/>
      <c r="AD155" s="100"/>
      <c r="AE155" s="101">
        <f>SUM(AF155:AR155)</f>
        <v>66530</v>
      </c>
      <c r="AF155" s="100"/>
      <c r="AG155" s="100"/>
      <c r="AH155" s="100"/>
      <c r="AI155" s="100"/>
      <c r="AJ155" s="100"/>
      <c r="AK155" s="100"/>
      <c r="AL155" s="100"/>
      <c r="AM155" s="100"/>
      <c r="AN155" s="100"/>
      <c r="AO155" s="100"/>
      <c r="AP155" s="100"/>
      <c r="AQ155" s="100"/>
      <c r="AR155" s="100">
        <v>66530</v>
      </c>
      <c r="AS155" s="101">
        <f t="shared" si="184"/>
        <v>0</v>
      </c>
      <c r="AT155" s="100"/>
      <c r="AU155" s="100"/>
      <c r="AV155" s="100"/>
      <c r="AW155" s="100"/>
      <c r="AX155" s="100"/>
      <c r="AY155" s="100"/>
      <c r="AZ155" s="100"/>
      <c r="BA155" s="100"/>
      <c r="BB155" s="100"/>
      <c r="BC155" s="100"/>
      <c r="BD155" s="100"/>
      <c r="BE155" s="100"/>
      <c r="BF155" s="100"/>
      <c r="BG155" s="100"/>
      <c r="BH155" s="103"/>
    </row>
    <row r="156" spans="1:60" s="3" customFormat="1" ht="15.75" customHeight="1" x14ac:dyDescent="0.2">
      <c r="A156" s="23"/>
      <c r="B156" s="19" t="s">
        <v>173</v>
      </c>
      <c r="C156" s="93" t="s">
        <v>213</v>
      </c>
      <c r="D156" s="99">
        <f>F156+G156+H156+N156+P156+Q156+R156+AE156+AS156+BB156</f>
        <v>21756</v>
      </c>
      <c r="E156" s="99">
        <f t="shared" si="181"/>
        <v>21756</v>
      </c>
      <c r="F156" s="104"/>
      <c r="G156" s="101"/>
      <c r="H156" s="101">
        <f>SUM(I156:M156)</f>
        <v>0</v>
      </c>
      <c r="I156" s="100"/>
      <c r="J156" s="100"/>
      <c r="K156" s="100"/>
      <c r="L156" s="100"/>
      <c r="M156" s="100"/>
      <c r="N156" s="101"/>
      <c r="O156" s="101"/>
      <c r="P156" s="101"/>
      <c r="Q156" s="101"/>
      <c r="R156" s="101">
        <f t="shared" si="182"/>
        <v>0</v>
      </c>
      <c r="S156" s="101">
        <f t="shared" si="183"/>
        <v>0</v>
      </c>
      <c r="T156" s="100"/>
      <c r="U156" s="102"/>
      <c r="V156" s="102"/>
      <c r="W156" s="100"/>
      <c r="X156" s="100"/>
      <c r="Y156" s="100"/>
      <c r="Z156" s="100"/>
      <c r="AA156" s="100"/>
      <c r="AB156" s="100"/>
      <c r="AC156" s="100"/>
      <c r="AD156" s="100"/>
      <c r="AE156" s="101">
        <f>SUM(AF156:AR156)</f>
        <v>21756</v>
      </c>
      <c r="AF156" s="100"/>
      <c r="AG156" s="100"/>
      <c r="AH156" s="100"/>
      <c r="AI156" s="100"/>
      <c r="AJ156" s="100"/>
      <c r="AK156" s="100"/>
      <c r="AL156" s="100"/>
      <c r="AM156" s="100"/>
      <c r="AN156" s="100"/>
      <c r="AO156" s="100"/>
      <c r="AP156" s="100"/>
      <c r="AQ156" s="100"/>
      <c r="AR156" s="100">
        <v>21756</v>
      </c>
      <c r="AS156" s="101"/>
      <c r="AT156" s="100"/>
      <c r="AU156" s="100"/>
      <c r="AV156" s="100"/>
      <c r="AW156" s="100"/>
      <c r="AX156" s="100"/>
      <c r="AY156" s="100"/>
      <c r="AZ156" s="100"/>
      <c r="BA156" s="100"/>
      <c r="BB156" s="100"/>
      <c r="BC156" s="100"/>
      <c r="BD156" s="100"/>
      <c r="BE156" s="100"/>
      <c r="BF156" s="100"/>
      <c r="BG156" s="100"/>
      <c r="BH156" s="103"/>
    </row>
    <row r="157" spans="1:60" s="3" customFormat="1" ht="15.75" hidden="1" customHeight="1" x14ac:dyDescent="0.2">
      <c r="A157" s="23"/>
      <c r="B157" s="19" t="s">
        <v>173</v>
      </c>
      <c r="C157" s="93" t="s">
        <v>175</v>
      </c>
      <c r="D157" s="128">
        <f>F157+G157+H157+N157+P157+Q157+R157+AE157+AS157+BB157</f>
        <v>0</v>
      </c>
      <c r="E157" s="128">
        <f>G157+H157+I157+O157+Q157+R157+S157+AF157+AT157+BC157</f>
        <v>0</v>
      </c>
      <c r="F157" s="104"/>
      <c r="G157" s="101"/>
      <c r="H157" s="101">
        <f>SUM(I157:M157)</f>
        <v>0</v>
      </c>
      <c r="I157" s="100"/>
      <c r="J157" s="100"/>
      <c r="K157" s="100"/>
      <c r="L157" s="100"/>
      <c r="M157" s="100"/>
      <c r="N157" s="101"/>
      <c r="O157" s="101"/>
      <c r="P157" s="101"/>
      <c r="Q157" s="101"/>
      <c r="R157" s="101">
        <f t="shared" si="182"/>
        <v>0</v>
      </c>
      <c r="S157" s="101">
        <f t="shared" ref="S157" si="187">V157+X157+Z157+AA157+AB157+AD157</f>
        <v>0</v>
      </c>
      <c r="T157" s="100"/>
      <c r="U157" s="102"/>
      <c r="V157" s="102"/>
      <c r="W157" s="100"/>
      <c r="X157" s="100"/>
      <c r="Y157" s="100"/>
      <c r="Z157" s="100"/>
      <c r="AA157" s="100"/>
      <c r="AB157" s="100"/>
      <c r="AC157" s="100"/>
      <c r="AD157" s="100"/>
      <c r="AE157" s="101">
        <f>SUM(AF157:AR157)</f>
        <v>0</v>
      </c>
      <c r="AF157" s="100"/>
      <c r="AG157" s="100"/>
      <c r="AH157" s="100"/>
      <c r="AI157" s="100"/>
      <c r="AJ157" s="100"/>
      <c r="AK157" s="100"/>
      <c r="AL157" s="100"/>
      <c r="AM157" s="100"/>
      <c r="AN157" s="100"/>
      <c r="AO157" s="100"/>
      <c r="AP157" s="100"/>
      <c r="AQ157" s="100"/>
      <c r="AR157" s="100"/>
      <c r="AS157" s="101">
        <f>SUM(AT157:AZ157)</f>
        <v>0</v>
      </c>
      <c r="AT157" s="100"/>
      <c r="AU157" s="100"/>
      <c r="AV157" s="100"/>
      <c r="AW157" s="100"/>
      <c r="AX157" s="100"/>
      <c r="AY157" s="100"/>
      <c r="AZ157" s="100"/>
      <c r="BA157" s="100"/>
      <c r="BB157" s="100"/>
      <c r="BC157" s="100"/>
      <c r="BD157" s="100"/>
      <c r="BE157" s="100"/>
      <c r="BF157" s="100"/>
      <c r="BG157" s="100"/>
      <c r="BH157" s="103"/>
    </row>
    <row r="158" spans="1:60" s="3" customFormat="1" ht="15.75" hidden="1" x14ac:dyDescent="0.2">
      <c r="A158" s="23"/>
      <c r="B158" s="19"/>
      <c r="C158" s="93"/>
      <c r="D158" s="128"/>
      <c r="E158" s="128"/>
      <c r="F158" s="104"/>
      <c r="G158" s="101"/>
      <c r="H158" s="101"/>
      <c r="I158" s="100"/>
      <c r="J158" s="100"/>
      <c r="K158" s="100"/>
      <c r="L158" s="100"/>
      <c r="M158" s="100"/>
      <c r="N158" s="101"/>
      <c r="O158" s="101"/>
      <c r="P158" s="101"/>
      <c r="Q158" s="101"/>
      <c r="R158" s="101"/>
      <c r="S158" s="101"/>
      <c r="T158" s="100"/>
      <c r="U158" s="102"/>
      <c r="V158" s="102"/>
      <c r="W158" s="100"/>
      <c r="X158" s="100"/>
      <c r="Y158" s="100"/>
      <c r="Z158" s="100"/>
      <c r="AA158" s="100"/>
      <c r="AB158" s="100"/>
      <c r="AC158" s="100"/>
      <c r="AD158" s="100"/>
      <c r="AE158" s="101"/>
      <c r="AF158" s="100"/>
      <c r="AG158" s="100"/>
      <c r="AH158" s="100"/>
      <c r="AI158" s="100"/>
      <c r="AJ158" s="100"/>
      <c r="AK158" s="100"/>
      <c r="AL158" s="100"/>
      <c r="AM158" s="100"/>
      <c r="AN158" s="100"/>
      <c r="AO158" s="100"/>
      <c r="AP158" s="100"/>
      <c r="AQ158" s="100"/>
      <c r="AR158" s="100"/>
      <c r="AS158" s="101"/>
      <c r="AT158" s="100"/>
      <c r="AU158" s="100"/>
      <c r="AV158" s="100"/>
      <c r="AW158" s="100"/>
      <c r="AX158" s="100"/>
      <c r="AY158" s="100"/>
      <c r="AZ158" s="100"/>
      <c r="BA158" s="100"/>
      <c r="BB158" s="100"/>
      <c r="BC158" s="100"/>
      <c r="BD158" s="100"/>
      <c r="BE158" s="100"/>
      <c r="BF158" s="100"/>
      <c r="BG158" s="100"/>
      <c r="BH158" s="103"/>
    </row>
    <row r="159" spans="1:60" s="3" customFormat="1" ht="13.5" customHeight="1" x14ac:dyDescent="0.2">
      <c r="A159" s="47"/>
      <c r="B159" s="24"/>
      <c r="C159" s="129" t="s">
        <v>176</v>
      </c>
      <c r="D159" s="144">
        <f>SUM(D160:D164)</f>
        <v>4967076</v>
      </c>
      <c r="E159" s="144">
        <f>SUM(E160:E164)</f>
        <v>4923570</v>
      </c>
      <c r="F159" s="166">
        <f t="shared" ref="F159:G159" si="188">SUM(F160:F164)</f>
        <v>0</v>
      </c>
      <c r="G159" s="167">
        <f t="shared" si="188"/>
        <v>0</v>
      </c>
      <c r="H159" s="167">
        <f t="shared" ref="H159:BH159" si="189">SUM(H160:H164)</f>
        <v>4295466</v>
      </c>
      <c r="I159" s="167">
        <f t="shared" si="189"/>
        <v>0</v>
      </c>
      <c r="J159" s="167">
        <f t="shared" si="189"/>
        <v>95000</v>
      </c>
      <c r="K159" s="167">
        <f t="shared" si="189"/>
        <v>3972943</v>
      </c>
      <c r="L159" s="167">
        <f t="shared" si="189"/>
        <v>70720</v>
      </c>
      <c r="M159" s="167">
        <f t="shared" si="189"/>
        <v>156803</v>
      </c>
      <c r="N159" s="167">
        <f t="shared" si="189"/>
        <v>0</v>
      </c>
      <c r="O159" s="167">
        <f t="shared" si="189"/>
        <v>0</v>
      </c>
      <c r="P159" s="167">
        <f t="shared" si="189"/>
        <v>0</v>
      </c>
      <c r="Q159" s="167">
        <f t="shared" si="189"/>
        <v>16200</v>
      </c>
      <c r="R159" s="167">
        <f t="shared" si="189"/>
        <v>40047</v>
      </c>
      <c r="S159" s="167">
        <f t="shared" ref="S159" si="190">SUM(S160:S164)</f>
        <v>3242</v>
      </c>
      <c r="T159" s="167">
        <f t="shared" si="189"/>
        <v>0</v>
      </c>
      <c r="U159" s="167">
        <f t="shared" si="189"/>
        <v>13497</v>
      </c>
      <c r="V159" s="167">
        <f t="shared" si="189"/>
        <v>0</v>
      </c>
      <c r="W159" s="167">
        <f t="shared" si="189"/>
        <v>19150</v>
      </c>
      <c r="X159" s="167">
        <f t="shared" si="189"/>
        <v>0</v>
      </c>
      <c r="Y159" s="167">
        <f t="shared" si="189"/>
        <v>4158</v>
      </c>
      <c r="Z159" s="167">
        <f t="shared" si="189"/>
        <v>0</v>
      </c>
      <c r="AA159" s="167">
        <f t="shared" si="189"/>
        <v>3242</v>
      </c>
      <c r="AB159" s="167">
        <f t="shared" si="189"/>
        <v>0</v>
      </c>
      <c r="AC159" s="167">
        <f t="shared" si="189"/>
        <v>0</v>
      </c>
      <c r="AD159" s="167">
        <f t="shared" si="189"/>
        <v>0</v>
      </c>
      <c r="AE159" s="167">
        <f t="shared" si="189"/>
        <v>261807</v>
      </c>
      <c r="AF159" s="167">
        <f t="shared" si="189"/>
        <v>15000</v>
      </c>
      <c r="AG159" s="167">
        <f t="shared" si="189"/>
        <v>150000</v>
      </c>
      <c r="AH159" s="167">
        <f t="shared" si="189"/>
        <v>0</v>
      </c>
      <c r="AI159" s="167">
        <f t="shared" si="189"/>
        <v>19112</v>
      </c>
      <c r="AJ159" s="167">
        <f t="shared" si="189"/>
        <v>0</v>
      </c>
      <c r="AK159" s="167">
        <f t="shared" si="189"/>
        <v>0</v>
      </c>
      <c r="AL159" s="167">
        <f t="shared" si="189"/>
        <v>0</v>
      </c>
      <c r="AM159" s="167">
        <f t="shared" si="189"/>
        <v>0</v>
      </c>
      <c r="AN159" s="167">
        <f t="shared" si="189"/>
        <v>0</v>
      </c>
      <c r="AO159" s="167">
        <f t="shared" si="189"/>
        <v>18249</v>
      </c>
      <c r="AP159" s="167">
        <f t="shared" si="189"/>
        <v>0</v>
      </c>
      <c r="AQ159" s="167">
        <f t="shared" ref="AQ159" si="191">SUM(AQ160:AQ164)</f>
        <v>0</v>
      </c>
      <c r="AR159" s="167">
        <f t="shared" si="189"/>
        <v>59446</v>
      </c>
      <c r="AS159" s="167">
        <f t="shared" si="189"/>
        <v>0</v>
      </c>
      <c r="AT159" s="167">
        <f t="shared" si="189"/>
        <v>0</v>
      </c>
      <c r="AU159" s="167">
        <f t="shared" si="189"/>
        <v>0</v>
      </c>
      <c r="AV159" s="167">
        <f t="shared" si="189"/>
        <v>0</v>
      </c>
      <c r="AW159" s="167">
        <f>SUM(AW160:AW164)</f>
        <v>0</v>
      </c>
      <c r="AX159" s="167">
        <f t="shared" si="189"/>
        <v>0</v>
      </c>
      <c r="AY159" s="167">
        <f t="shared" ref="AY159" si="192">SUM(AY160:AY164)</f>
        <v>0</v>
      </c>
      <c r="AZ159" s="167">
        <f t="shared" si="189"/>
        <v>0</v>
      </c>
      <c r="BA159" s="167">
        <f t="shared" si="189"/>
        <v>0</v>
      </c>
      <c r="BB159" s="167">
        <f t="shared" si="189"/>
        <v>353556</v>
      </c>
      <c r="BC159" s="167">
        <f t="shared" si="189"/>
        <v>0</v>
      </c>
      <c r="BD159" s="167">
        <f t="shared" si="189"/>
        <v>0</v>
      </c>
      <c r="BE159" s="167">
        <f t="shared" si="189"/>
        <v>0</v>
      </c>
      <c r="BF159" s="167">
        <f t="shared" si="189"/>
        <v>0</v>
      </c>
      <c r="BG159" s="167">
        <f t="shared" si="189"/>
        <v>0</v>
      </c>
      <c r="BH159" s="208">
        <f t="shared" si="189"/>
        <v>0</v>
      </c>
    </row>
    <row r="160" spans="1:60" s="3" customFormat="1" ht="15.75" x14ac:dyDescent="0.2">
      <c r="A160" s="23"/>
      <c r="B160" s="19" t="s">
        <v>173</v>
      </c>
      <c r="C160" s="245" t="s">
        <v>60</v>
      </c>
      <c r="D160" s="99">
        <f>F160+G160+H160+N160+P160+Q160+R160+AE160+AS160+BB160</f>
        <v>34812</v>
      </c>
      <c r="E160" s="99">
        <f>F160+G160+H160+O160+N160+P160+Q160+S160+AE160+AS160+BB160+BE160+BG160+BH160</f>
        <v>18249</v>
      </c>
      <c r="F160" s="104"/>
      <c r="G160" s="101"/>
      <c r="H160" s="101">
        <f>SUM(I160:M160)</f>
        <v>0</v>
      </c>
      <c r="I160" s="100"/>
      <c r="J160" s="100"/>
      <c r="K160" s="100"/>
      <c r="L160" s="100"/>
      <c r="M160" s="100"/>
      <c r="N160" s="101"/>
      <c r="O160" s="101"/>
      <c r="P160" s="101"/>
      <c r="Q160" s="101"/>
      <c r="R160" s="101">
        <f>T160+U160+W160+Y160+AA160+AB160+AC160</f>
        <v>16563</v>
      </c>
      <c r="S160" s="101">
        <f t="shared" ref="S160:S163" si="193">T160+V160+X160+Z160+AA160+AB160+AD160</f>
        <v>0</v>
      </c>
      <c r="T160" s="100"/>
      <c r="U160" s="247">
        <f>4790+886</f>
        <v>5676</v>
      </c>
      <c r="V160" s="100"/>
      <c r="W160" s="100">
        <v>8568</v>
      </c>
      <c r="X160" s="100"/>
      <c r="Y160" s="100">
        <v>2319</v>
      </c>
      <c r="Z160" s="100"/>
      <c r="AA160" s="100"/>
      <c r="AB160" s="100"/>
      <c r="AC160" s="100"/>
      <c r="AD160" s="100"/>
      <c r="AE160" s="101">
        <f>SUM(AF160:AR160)</f>
        <v>18249</v>
      </c>
      <c r="AF160" s="100"/>
      <c r="AG160" s="100"/>
      <c r="AH160" s="100"/>
      <c r="AI160" s="100"/>
      <c r="AJ160" s="100"/>
      <c r="AK160" s="100"/>
      <c r="AL160" s="100"/>
      <c r="AM160" s="100"/>
      <c r="AN160" s="100"/>
      <c r="AO160" s="100">
        <v>18249</v>
      </c>
      <c r="AP160" s="100"/>
      <c r="AQ160" s="100"/>
      <c r="AR160" s="100"/>
      <c r="AS160" s="101">
        <f>SUM(AT160:AZ160)</f>
        <v>0</v>
      </c>
      <c r="AT160" s="100"/>
      <c r="AU160" s="100"/>
      <c r="AV160" s="100"/>
      <c r="AW160" s="100"/>
      <c r="AX160" s="100"/>
      <c r="AY160" s="100"/>
      <c r="AZ160" s="100"/>
      <c r="BA160" s="100"/>
      <c r="BB160" s="100"/>
      <c r="BC160" s="100"/>
      <c r="BD160" s="100"/>
      <c r="BE160" s="100"/>
      <c r="BF160" s="100"/>
      <c r="BG160" s="100"/>
      <c r="BH160" s="103"/>
    </row>
    <row r="161" spans="1:60" s="3" customFormat="1" ht="15.75" customHeight="1" x14ac:dyDescent="0.2">
      <c r="A161" s="23"/>
      <c r="B161" s="19" t="s">
        <v>173</v>
      </c>
      <c r="C161" s="245" t="s">
        <v>177</v>
      </c>
      <c r="D161" s="99">
        <f>F161+G161+H161+N161+P161+Q161+R161+AE161+AS161+BB161</f>
        <v>262373</v>
      </c>
      <c r="E161" s="99">
        <f>F161+G161+H161+O161+N161+P161+Q161+S161+AE161+AS161+BB161+BE161+BG161+BH161</f>
        <v>242131</v>
      </c>
      <c r="F161" s="104"/>
      <c r="G161" s="101"/>
      <c r="H161" s="101">
        <f>SUM(I161:M161)</f>
        <v>183720</v>
      </c>
      <c r="I161" s="100"/>
      <c r="J161" s="247">
        <f>60000+35000</f>
        <v>95000</v>
      </c>
      <c r="K161" s="100"/>
      <c r="L161" s="247">
        <f>65720+5000</f>
        <v>70720</v>
      </c>
      <c r="M161" s="100">
        <v>18000</v>
      </c>
      <c r="N161" s="101"/>
      <c r="O161" s="101"/>
      <c r="P161" s="101"/>
      <c r="Q161" s="100">
        <v>9000</v>
      </c>
      <c r="R161" s="101">
        <f>T161+U161+W161+Y161+AA161+AB161+AC161</f>
        <v>23484</v>
      </c>
      <c r="S161" s="101">
        <f t="shared" si="193"/>
        <v>3242</v>
      </c>
      <c r="T161" s="100"/>
      <c r="U161" s="247">
        <f>7451+370</f>
        <v>7821</v>
      </c>
      <c r="V161" s="100"/>
      <c r="W161" s="247">
        <f>9865+717</f>
        <v>10582</v>
      </c>
      <c r="X161" s="100"/>
      <c r="Y161" s="247">
        <f>1686+153</f>
        <v>1839</v>
      </c>
      <c r="Z161" s="100"/>
      <c r="AA161" s="247">
        <f>1419+1823</f>
        <v>3242</v>
      </c>
      <c r="AB161" s="100"/>
      <c r="AC161" s="100"/>
      <c r="AD161" s="100"/>
      <c r="AE161" s="101">
        <f>SUM(AF161:AR161)</f>
        <v>38169</v>
      </c>
      <c r="AF161" s="100">
        <v>2000</v>
      </c>
      <c r="AG161" s="100"/>
      <c r="AH161" s="100"/>
      <c r="AI161" s="100">
        <v>1360</v>
      </c>
      <c r="AJ161" s="100"/>
      <c r="AK161" s="100"/>
      <c r="AL161" s="100"/>
      <c r="AM161" s="100"/>
      <c r="AN161" s="100"/>
      <c r="AO161" s="100"/>
      <c r="AP161" s="100"/>
      <c r="AQ161" s="100"/>
      <c r="AR161" s="247">
        <f>20000+14809</f>
        <v>34809</v>
      </c>
      <c r="AS161" s="101">
        <f>SUM(AT161:AZ161)</f>
        <v>0</v>
      </c>
      <c r="AT161" s="100"/>
      <c r="AU161" s="100"/>
      <c r="AV161" s="100"/>
      <c r="AW161" s="100"/>
      <c r="AX161" s="100"/>
      <c r="AY161" s="100"/>
      <c r="AZ161" s="100"/>
      <c r="BA161" s="100"/>
      <c r="BB161" s="100">
        <v>8000</v>
      </c>
      <c r="BC161" s="100"/>
      <c r="BD161" s="100"/>
      <c r="BE161" s="100"/>
      <c r="BF161" s="100"/>
      <c r="BG161" s="100"/>
      <c r="BH161" s="103"/>
    </row>
    <row r="162" spans="1:60" s="3" customFormat="1" ht="15.75" customHeight="1" x14ac:dyDescent="0.2">
      <c r="A162" s="23"/>
      <c r="B162" s="19" t="s">
        <v>173</v>
      </c>
      <c r="C162" s="245" t="s">
        <v>59</v>
      </c>
      <c r="D162" s="99">
        <f>F162+G162+H162+N162+P162+Q162+R162+AE162+AS162+BB162+BF162</f>
        <v>4165215</v>
      </c>
      <c r="E162" s="99">
        <f>F162+G162+H162+O162+N162+P162+Q162+S162+AE162+AS162+BB162+BE162+BG162+BH162</f>
        <v>4165215</v>
      </c>
      <c r="F162" s="104"/>
      <c r="G162" s="101"/>
      <c r="H162" s="101">
        <f>SUM(I162:M162)</f>
        <v>3991971</v>
      </c>
      <c r="I162" s="100"/>
      <c r="J162" s="100"/>
      <c r="K162" s="247">
        <f>1929190+1912318+126419+5016</f>
        <v>3972943</v>
      </c>
      <c r="L162" s="100"/>
      <c r="M162" s="247">
        <f>3276+15752</f>
        <v>19028</v>
      </c>
      <c r="N162" s="101"/>
      <c r="O162" s="101"/>
      <c r="P162" s="101"/>
      <c r="Q162" s="101"/>
      <c r="R162" s="101">
        <f>T162+U162+W162+Y162+AA162+AB162+AC162</f>
        <v>0</v>
      </c>
      <c r="S162" s="101">
        <f t="shared" si="193"/>
        <v>0</v>
      </c>
      <c r="T162" s="100"/>
      <c r="U162" s="102"/>
      <c r="V162" s="102"/>
      <c r="W162" s="102"/>
      <c r="X162" s="102"/>
      <c r="Y162" s="100"/>
      <c r="Z162" s="100"/>
      <c r="AA162" s="100"/>
      <c r="AB162" s="100"/>
      <c r="AC162" s="100"/>
      <c r="AD162" s="100"/>
      <c r="AE162" s="101">
        <f>SUM(AF162:AR162)</f>
        <v>27688</v>
      </c>
      <c r="AF162" s="100"/>
      <c r="AG162" s="100"/>
      <c r="AH162" s="100"/>
      <c r="AI162" s="247">
        <v>15752</v>
      </c>
      <c r="AJ162" s="100"/>
      <c r="AK162" s="100"/>
      <c r="AL162" s="100"/>
      <c r="AM162" s="100"/>
      <c r="AN162" s="100"/>
      <c r="AO162" s="100"/>
      <c r="AP162" s="100"/>
      <c r="AQ162" s="100"/>
      <c r="AR162" s="247">
        <f>1000+10936</f>
        <v>11936</v>
      </c>
      <c r="AS162" s="101">
        <f>SUM(AT162:AZ162)</f>
        <v>0</v>
      </c>
      <c r="AT162" s="100"/>
      <c r="AU162" s="100"/>
      <c r="AV162" s="100"/>
      <c r="AW162" s="100"/>
      <c r="AX162" s="100"/>
      <c r="AY162" s="100"/>
      <c r="AZ162" s="100"/>
      <c r="BA162" s="100"/>
      <c r="BB162" s="247">
        <f>6265+139291</f>
        <v>145556</v>
      </c>
      <c r="BC162" s="100"/>
      <c r="BD162" s="100"/>
      <c r="BE162" s="100"/>
      <c r="BF162" s="100"/>
      <c r="BG162" s="100"/>
      <c r="BH162" s="103"/>
    </row>
    <row r="163" spans="1:60" s="3" customFormat="1" ht="15.75" customHeight="1" x14ac:dyDescent="0.2">
      <c r="A163" s="23"/>
      <c r="B163" s="19" t="s">
        <v>173</v>
      </c>
      <c r="C163" s="245" t="s">
        <v>312</v>
      </c>
      <c r="D163" s="99">
        <f>F163+G163+H163+N163+P163+Q163+R163+AE163+AS163+BB163+BF163</f>
        <v>497975</v>
      </c>
      <c r="E163" s="99">
        <f>F163+G163+H163+O163+N163+P163+Q163+S163+AE163+AS163+BB163+BE163+BG163+BH163+BF163</f>
        <v>497975</v>
      </c>
      <c r="F163" s="104"/>
      <c r="G163" s="101"/>
      <c r="H163" s="101">
        <f>SUM(I163:M163)</f>
        <v>119775</v>
      </c>
      <c r="I163" s="100"/>
      <c r="J163" s="100"/>
      <c r="K163" s="100"/>
      <c r="L163" s="100"/>
      <c r="M163" s="247">
        <f>39327+80448</f>
        <v>119775</v>
      </c>
      <c r="N163" s="101"/>
      <c r="O163" s="101"/>
      <c r="P163" s="101"/>
      <c r="Q163" s="100">
        <v>7200</v>
      </c>
      <c r="R163" s="101">
        <f>T163+U163+W163+Y163+AA163+AB163+AC163</f>
        <v>0</v>
      </c>
      <c r="S163" s="101">
        <f t="shared" si="193"/>
        <v>0</v>
      </c>
      <c r="T163" s="100"/>
      <c r="U163" s="102"/>
      <c r="V163" s="102"/>
      <c r="W163" s="102"/>
      <c r="X163" s="102"/>
      <c r="Y163" s="100"/>
      <c r="Z163" s="100"/>
      <c r="AA163" s="100"/>
      <c r="AB163" s="100"/>
      <c r="AC163" s="100"/>
      <c r="AD163" s="100"/>
      <c r="AE163" s="101">
        <f>SUM(AF163:AR163)</f>
        <v>171000</v>
      </c>
      <c r="AF163" s="100">
        <v>13000</v>
      </c>
      <c r="AG163" s="247">
        <f>70000+80000</f>
        <v>150000</v>
      </c>
      <c r="AH163" s="100"/>
      <c r="AI163" s="100">
        <v>2000</v>
      </c>
      <c r="AJ163" s="100"/>
      <c r="AK163" s="100"/>
      <c r="AL163" s="100"/>
      <c r="AM163" s="100"/>
      <c r="AN163" s="100"/>
      <c r="AO163" s="100"/>
      <c r="AP163" s="100"/>
      <c r="AQ163" s="100"/>
      <c r="AR163" s="100">
        <v>6000</v>
      </c>
      <c r="AS163" s="101">
        <f>SUM(AT163:AZ163)</f>
        <v>0</v>
      </c>
      <c r="AT163" s="100"/>
      <c r="AU163" s="100"/>
      <c r="AV163" s="100"/>
      <c r="AW163" s="100"/>
      <c r="AX163" s="100"/>
      <c r="AY163" s="100"/>
      <c r="AZ163" s="100"/>
      <c r="BA163" s="100"/>
      <c r="BB163" s="247">
        <f>88000+112000</f>
        <v>200000</v>
      </c>
      <c r="BC163" s="100"/>
      <c r="BD163" s="100"/>
      <c r="BE163" s="100"/>
      <c r="BF163" s="100"/>
      <c r="BG163" s="100"/>
      <c r="BH163" s="103"/>
    </row>
    <row r="164" spans="1:60" s="3" customFormat="1" ht="15.75" x14ac:dyDescent="0.2">
      <c r="A164" s="23"/>
      <c r="B164" s="19" t="s">
        <v>173</v>
      </c>
      <c r="C164" s="93" t="s">
        <v>178</v>
      </c>
      <c r="D164" s="99">
        <f>F164+G164+H164+N164+P164+Q164+R164+AE164+AS164+BB164</f>
        <v>6701</v>
      </c>
      <c r="E164" s="99">
        <f>G164+H164+I164+O164+Q164+R164+S164+AF164+AT164+BC164</f>
        <v>0</v>
      </c>
      <c r="F164" s="104"/>
      <c r="G164" s="101"/>
      <c r="H164" s="101">
        <f>SUM(I164:M164)</f>
        <v>0</v>
      </c>
      <c r="I164" s="100"/>
      <c r="J164" s="100"/>
      <c r="K164" s="100"/>
      <c r="L164" s="100"/>
      <c r="M164" s="100"/>
      <c r="N164" s="101"/>
      <c r="O164" s="101"/>
      <c r="P164" s="101"/>
      <c r="Q164" s="101"/>
      <c r="R164" s="101">
        <f>T164+U164+W164+Y164+AA164+AB164+AC164</f>
        <v>0</v>
      </c>
      <c r="S164" s="101">
        <f t="shared" ref="S164" si="194">V164+X164+Z164+AA164+AB164+AD164</f>
        <v>0</v>
      </c>
      <c r="T164" s="100"/>
      <c r="U164" s="102"/>
      <c r="V164" s="102"/>
      <c r="W164" s="102"/>
      <c r="X164" s="102"/>
      <c r="Y164" s="100"/>
      <c r="Z164" s="100"/>
      <c r="AA164" s="100"/>
      <c r="AB164" s="100"/>
      <c r="AC164" s="100"/>
      <c r="AD164" s="100"/>
      <c r="AE164" s="101">
        <f>SUM(AF164:AR164)</f>
        <v>6701</v>
      </c>
      <c r="AF164" s="100"/>
      <c r="AG164" s="100"/>
      <c r="AH164" s="100"/>
      <c r="AI164" s="100"/>
      <c r="AJ164" s="100"/>
      <c r="AK164" s="100"/>
      <c r="AL164" s="100"/>
      <c r="AM164" s="100"/>
      <c r="AN164" s="100"/>
      <c r="AO164" s="100"/>
      <c r="AP164" s="100"/>
      <c r="AQ164" s="100"/>
      <c r="AR164" s="100">
        <v>6701</v>
      </c>
      <c r="AS164" s="101">
        <f>SUM(AT164:AZ164)</f>
        <v>0</v>
      </c>
      <c r="AT164" s="100"/>
      <c r="AU164" s="100"/>
      <c r="AV164" s="100"/>
      <c r="AW164" s="100"/>
      <c r="AX164" s="100"/>
      <c r="AY164" s="100"/>
      <c r="AZ164" s="100"/>
      <c r="BA164" s="100"/>
      <c r="BB164" s="100"/>
      <c r="BC164" s="100"/>
      <c r="BD164" s="100"/>
      <c r="BE164" s="100"/>
      <c r="BF164" s="100"/>
      <c r="BG164" s="100"/>
      <c r="BH164" s="103"/>
    </row>
    <row r="165" spans="1:60" s="3" customFormat="1" ht="25.5" hidden="1" customHeight="1" x14ac:dyDescent="0.2">
      <c r="A165" s="23"/>
      <c r="B165" s="19"/>
      <c r="C165" s="93"/>
      <c r="D165" s="128"/>
      <c r="E165" s="128"/>
      <c r="F165" s="104"/>
      <c r="G165" s="101"/>
      <c r="H165" s="101"/>
      <c r="I165" s="100"/>
      <c r="J165" s="100"/>
      <c r="K165" s="100"/>
      <c r="L165" s="100"/>
      <c r="M165" s="100"/>
      <c r="N165" s="101"/>
      <c r="O165" s="101"/>
      <c r="P165" s="101"/>
      <c r="Q165" s="101"/>
      <c r="R165" s="101"/>
      <c r="S165" s="101"/>
      <c r="T165" s="100"/>
      <c r="U165" s="102"/>
      <c r="V165" s="102"/>
      <c r="W165" s="102"/>
      <c r="X165" s="102"/>
      <c r="Y165" s="100"/>
      <c r="Z165" s="100"/>
      <c r="AA165" s="100"/>
      <c r="AB165" s="100"/>
      <c r="AC165" s="100"/>
      <c r="AD165" s="100"/>
      <c r="AE165" s="101"/>
      <c r="AF165" s="100"/>
      <c r="AG165" s="100"/>
      <c r="AH165" s="100"/>
      <c r="AI165" s="100"/>
      <c r="AJ165" s="100"/>
      <c r="AK165" s="100"/>
      <c r="AL165" s="100"/>
      <c r="AM165" s="100"/>
      <c r="AN165" s="100"/>
      <c r="AO165" s="100"/>
      <c r="AP165" s="100"/>
      <c r="AQ165" s="100"/>
      <c r="AR165" s="100"/>
      <c r="AS165" s="101"/>
      <c r="AT165" s="100"/>
      <c r="AU165" s="100"/>
      <c r="AV165" s="100"/>
      <c r="AW165" s="100"/>
      <c r="AX165" s="100"/>
      <c r="AY165" s="100"/>
      <c r="AZ165" s="100"/>
      <c r="BA165" s="100"/>
      <c r="BB165" s="100"/>
      <c r="BC165" s="100"/>
      <c r="BD165" s="100"/>
      <c r="BE165" s="100"/>
      <c r="BF165" s="100"/>
      <c r="BG165" s="100"/>
      <c r="BH165" s="103"/>
    </row>
    <row r="166" spans="1:60" s="3" customFormat="1" ht="15.75" hidden="1" x14ac:dyDescent="0.2">
      <c r="A166" s="23"/>
      <c r="B166" s="19"/>
      <c r="C166" s="93"/>
      <c r="D166" s="128"/>
      <c r="E166" s="128"/>
      <c r="F166" s="104"/>
      <c r="G166" s="101"/>
      <c r="H166" s="101"/>
      <c r="I166" s="100"/>
      <c r="J166" s="100"/>
      <c r="K166" s="100"/>
      <c r="L166" s="100"/>
      <c r="M166" s="100"/>
      <c r="N166" s="101"/>
      <c r="O166" s="101"/>
      <c r="P166" s="101"/>
      <c r="Q166" s="101"/>
      <c r="R166" s="101"/>
      <c r="S166" s="101"/>
      <c r="T166" s="100"/>
      <c r="U166" s="102"/>
      <c r="V166" s="102"/>
      <c r="W166" s="102"/>
      <c r="X166" s="102"/>
      <c r="Y166" s="100"/>
      <c r="Z166" s="100"/>
      <c r="AA166" s="100"/>
      <c r="AB166" s="100"/>
      <c r="AC166" s="100"/>
      <c r="AD166" s="100"/>
      <c r="AE166" s="101"/>
      <c r="AF166" s="100"/>
      <c r="AG166" s="100"/>
      <c r="AH166" s="100"/>
      <c r="AI166" s="100"/>
      <c r="AJ166" s="100"/>
      <c r="AK166" s="100"/>
      <c r="AL166" s="100"/>
      <c r="AM166" s="100"/>
      <c r="AN166" s="100"/>
      <c r="AO166" s="100"/>
      <c r="AP166" s="100"/>
      <c r="AQ166" s="100"/>
      <c r="AR166" s="100"/>
      <c r="AS166" s="101"/>
      <c r="AT166" s="100"/>
      <c r="AU166" s="100"/>
      <c r="AV166" s="100"/>
      <c r="AW166" s="100"/>
      <c r="AX166" s="100"/>
      <c r="AY166" s="100"/>
      <c r="AZ166" s="100"/>
      <c r="BA166" s="100"/>
      <c r="BB166" s="100"/>
      <c r="BC166" s="100"/>
      <c r="BD166" s="100"/>
      <c r="BE166" s="100"/>
      <c r="BF166" s="100"/>
      <c r="BG166" s="100"/>
      <c r="BH166" s="103"/>
    </row>
    <row r="167" spans="1:60" s="3" customFormat="1" ht="18" customHeight="1" x14ac:dyDescent="0.2">
      <c r="A167" s="18" t="s">
        <v>179</v>
      </c>
      <c r="B167" s="19" t="s">
        <v>90</v>
      </c>
      <c r="C167" s="93" t="s">
        <v>61</v>
      </c>
      <c r="D167" s="128">
        <f>SUM(D168:D172)+D173+D174+D185+SUM(D195:D199)</f>
        <v>3677418</v>
      </c>
      <c r="E167" s="128">
        <f>E168+E169+E170+E173+E174+E185+SUM(E195:E199)</f>
        <v>3137740</v>
      </c>
      <c r="F167" s="230">
        <f>F168+F169+F170+F173+F174+F185+SUM(F195:F199)</f>
        <v>0</v>
      </c>
      <c r="G167" s="141">
        <f>G168+G169+G170+G173+G174+G185+SUM(G195:G199)</f>
        <v>0</v>
      </c>
      <c r="H167" s="141">
        <f t="shared" ref="H167:BG167" si="195">H168+H169+H170+H173+H174+H185+SUM(H195:H199)</f>
        <v>870</v>
      </c>
      <c r="I167" s="141">
        <f>I168+I169+I170+I173+I174+I185+SUM(I195:I199)</f>
        <v>0</v>
      </c>
      <c r="J167" s="141">
        <f t="shared" ref="J167:Q167" si="196">J168+J169+J170+J173+J174+J185+SUM(J195:J199)</f>
        <v>0</v>
      </c>
      <c r="K167" s="141">
        <f t="shared" si="196"/>
        <v>0</v>
      </c>
      <c r="L167" s="141">
        <f t="shared" si="196"/>
        <v>0</v>
      </c>
      <c r="M167" s="141">
        <f t="shared" si="196"/>
        <v>870</v>
      </c>
      <c r="N167" s="141">
        <f t="shared" si="196"/>
        <v>0</v>
      </c>
      <c r="O167" s="141">
        <f t="shared" si="196"/>
        <v>0</v>
      </c>
      <c r="P167" s="141">
        <f t="shared" si="196"/>
        <v>0</v>
      </c>
      <c r="Q167" s="141">
        <f t="shared" si="196"/>
        <v>0</v>
      </c>
      <c r="R167" s="141">
        <f t="shared" si="195"/>
        <v>0</v>
      </c>
      <c r="S167" s="141">
        <f>S168+S169+S170+S173+S174+S185+SUM(S195:S199)</f>
        <v>0</v>
      </c>
      <c r="T167" s="141">
        <f t="shared" si="195"/>
        <v>0</v>
      </c>
      <c r="U167" s="141">
        <f t="shared" si="195"/>
        <v>0</v>
      </c>
      <c r="V167" s="141">
        <f t="shared" si="195"/>
        <v>0</v>
      </c>
      <c r="W167" s="141">
        <f t="shared" si="195"/>
        <v>0</v>
      </c>
      <c r="X167" s="141">
        <f t="shared" si="195"/>
        <v>0</v>
      </c>
      <c r="Y167" s="141">
        <f t="shared" si="195"/>
        <v>0</v>
      </c>
      <c r="Z167" s="141">
        <f t="shared" si="195"/>
        <v>0</v>
      </c>
      <c r="AA167" s="141">
        <f t="shared" si="195"/>
        <v>0</v>
      </c>
      <c r="AB167" s="141">
        <f t="shared" si="195"/>
        <v>0</v>
      </c>
      <c r="AC167" s="141">
        <f t="shared" si="195"/>
        <v>0</v>
      </c>
      <c r="AD167" s="141">
        <f t="shared" si="195"/>
        <v>0</v>
      </c>
      <c r="AE167" s="141">
        <f t="shared" si="195"/>
        <v>0</v>
      </c>
      <c r="AF167" s="141">
        <f t="shared" si="195"/>
        <v>0</v>
      </c>
      <c r="AG167" s="141">
        <f t="shared" si="195"/>
        <v>0</v>
      </c>
      <c r="AH167" s="141">
        <f t="shared" si="195"/>
        <v>0</v>
      </c>
      <c r="AI167" s="141">
        <f t="shared" si="195"/>
        <v>0</v>
      </c>
      <c r="AJ167" s="141">
        <f t="shared" si="195"/>
        <v>0</v>
      </c>
      <c r="AK167" s="141">
        <f t="shared" si="195"/>
        <v>0</v>
      </c>
      <c r="AL167" s="141">
        <f t="shared" si="195"/>
        <v>0</v>
      </c>
      <c r="AM167" s="141">
        <f t="shared" si="195"/>
        <v>0</v>
      </c>
      <c r="AN167" s="141">
        <f t="shared" si="195"/>
        <v>0</v>
      </c>
      <c r="AO167" s="141">
        <f t="shared" si="195"/>
        <v>0</v>
      </c>
      <c r="AP167" s="141">
        <f t="shared" si="195"/>
        <v>0</v>
      </c>
      <c r="AQ167" s="141">
        <f t="shared" ref="AQ167" si="197">AQ168+AQ169+AQ170+AQ173+AQ174+AQ185+SUM(AQ195:AQ199)</f>
        <v>0</v>
      </c>
      <c r="AR167" s="141">
        <f t="shared" si="195"/>
        <v>0</v>
      </c>
      <c r="AS167" s="141">
        <f t="shared" si="195"/>
        <v>3136870</v>
      </c>
      <c r="AT167" s="141">
        <f t="shared" si="195"/>
        <v>0</v>
      </c>
      <c r="AU167" s="141">
        <f t="shared" si="195"/>
        <v>3136870</v>
      </c>
      <c r="AV167" s="141">
        <f t="shared" si="195"/>
        <v>0</v>
      </c>
      <c r="AW167" s="141">
        <f>AW168+AW169+AW170+AW173+AW174+AW185+SUM(AW195:AW199)</f>
        <v>0</v>
      </c>
      <c r="AX167" s="141">
        <f t="shared" si="195"/>
        <v>0</v>
      </c>
      <c r="AY167" s="141">
        <f t="shared" ref="AY167" si="198">AY168+AY169+AY170+AY173+AY174+AY185+SUM(AY195:AY199)</f>
        <v>0</v>
      </c>
      <c r="AZ167" s="141">
        <f t="shared" si="195"/>
        <v>0</v>
      </c>
      <c r="BA167" s="141">
        <f t="shared" si="195"/>
        <v>0</v>
      </c>
      <c r="BB167" s="141">
        <f t="shared" si="195"/>
        <v>0</v>
      </c>
      <c r="BC167" s="141">
        <f t="shared" si="195"/>
        <v>0</v>
      </c>
      <c r="BD167" s="141">
        <f t="shared" si="195"/>
        <v>0</v>
      </c>
      <c r="BE167" s="141">
        <f t="shared" si="195"/>
        <v>0</v>
      </c>
      <c r="BF167" s="141">
        <f t="shared" si="195"/>
        <v>0</v>
      </c>
      <c r="BG167" s="141">
        <f t="shared" si="195"/>
        <v>0</v>
      </c>
      <c r="BH167" s="202">
        <f>SUM(BH168:BH172)+BH173+BH174+BH185+SUM(BH195:BH199)</f>
        <v>539678</v>
      </c>
    </row>
    <row r="168" spans="1:60" s="3" customFormat="1" ht="15.75" hidden="1" customHeight="1" x14ac:dyDescent="0.2">
      <c r="A168" s="23"/>
      <c r="B168" s="19" t="s">
        <v>180</v>
      </c>
      <c r="C168" s="93"/>
      <c r="D168" s="99">
        <f>F168+G168+H168+N168+P168+Q168+R168+AE168+AS168+BB168+BH168+BE168</f>
        <v>0</v>
      </c>
      <c r="E168" s="99">
        <f>G168+H168+I168+O168+Q168+R168+S168+AF168+AT168+BC168+BI168+BF168</f>
        <v>0</v>
      </c>
      <c r="F168" s="104"/>
      <c r="G168" s="101"/>
      <c r="H168" s="101">
        <f>SUM(I168:M168)</f>
        <v>0</v>
      </c>
      <c r="I168" s="100"/>
      <c r="J168" s="100"/>
      <c r="K168" s="100"/>
      <c r="L168" s="100"/>
      <c r="M168" s="100"/>
      <c r="N168" s="101"/>
      <c r="O168" s="101"/>
      <c r="P168" s="101"/>
      <c r="Q168" s="101"/>
      <c r="R168" s="101">
        <f>T168+U168+W168+Y168+AA168+AB168+AC168</f>
        <v>0</v>
      </c>
      <c r="S168" s="101">
        <f t="shared" ref="S168" si="199">V168+X168+Z168+AA168+AB168+AD168</f>
        <v>0</v>
      </c>
      <c r="T168" s="100"/>
      <c r="U168" s="102"/>
      <c r="V168" s="102"/>
      <c r="W168" s="100"/>
      <c r="X168" s="100"/>
      <c r="Y168" s="100"/>
      <c r="Z168" s="100"/>
      <c r="AA168" s="100"/>
      <c r="AB168" s="100"/>
      <c r="AC168" s="100"/>
      <c r="AD168" s="100"/>
      <c r="AE168" s="101">
        <f>SUM(AF168:AR168)</f>
        <v>0</v>
      </c>
      <c r="AF168" s="100"/>
      <c r="AG168" s="100"/>
      <c r="AH168" s="100"/>
      <c r="AI168" s="100"/>
      <c r="AJ168" s="100"/>
      <c r="AK168" s="100"/>
      <c r="AL168" s="100"/>
      <c r="AM168" s="100"/>
      <c r="AN168" s="100"/>
      <c r="AO168" s="100"/>
      <c r="AP168" s="100"/>
      <c r="AQ168" s="100"/>
      <c r="AR168" s="100"/>
      <c r="AS168" s="101">
        <f>SUM(AT168:AZ168)</f>
        <v>0</v>
      </c>
      <c r="AT168" s="100"/>
      <c r="AU168" s="100"/>
      <c r="AV168" s="100"/>
      <c r="AW168" s="100"/>
      <c r="AX168" s="100"/>
      <c r="AY168" s="100"/>
      <c r="AZ168" s="100"/>
      <c r="BA168" s="100"/>
      <c r="BB168" s="100"/>
      <c r="BC168" s="100"/>
      <c r="BD168" s="100"/>
      <c r="BE168" s="100"/>
      <c r="BF168" s="100"/>
      <c r="BG168" s="100"/>
      <c r="BH168" s="103"/>
    </row>
    <row r="169" spans="1:60" s="170" customFormat="1" ht="16.5" hidden="1" customHeight="1" x14ac:dyDescent="0.2">
      <c r="A169" s="23"/>
      <c r="B169" s="19" t="s">
        <v>180</v>
      </c>
      <c r="C169" s="189" t="s">
        <v>308</v>
      </c>
      <c r="D169" s="99">
        <f>F169+G169+H169+N169+P169+Q169+R169+AE169+AS169+BB169+BH169+BE169</f>
        <v>0</v>
      </c>
      <c r="E169" s="99">
        <f>F169+G169+H169+O169+N169+P169+Q169+S169+AE169+AS169+BB169+BE169+BG169+BH169</f>
        <v>0</v>
      </c>
      <c r="F169" s="104"/>
      <c r="G169" s="101"/>
      <c r="H169" s="101"/>
      <c r="I169" s="100"/>
      <c r="J169" s="100"/>
      <c r="K169" s="100"/>
      <c r="L169" s="100"/>
      <c r="M169" s="100"/>
      <c r="N169" s="101"/>
      <c r="O169" s="101"/>
      <c r="P169" s="101"/>
      <c r="Q169" s="101"/>
      <c r="R169" s="101"/>
      <c r="S169" s="101">
        <f t="shared" ref="S169:S173" si="200">T169+V169+X169+Z169+AA169+AB169+AD169</f>
        <v>0</v>
      </c>
      <c r="T169" s="100"/>
      <c r="U169" s="102"/>
      <c r="V169" s="102"/>
      <c r="W169" s="100"/>
      <c r="X169" s="100"/>
      <c r="Y169" s="100"/>
      <c r="Z169" s="100"/>
      <c r="AA169" s="100"/>
      <c r="AB169" s="100"/>
      <c r="AC169" s="100"/>
      <c r="AD169" s="100"/>
      <c r="AE169" s="101">
        <f>AR169</f>
        <v>0</v>
      </c>
      <c r="AF169" s="100"/>
      <c r="AG169" s="100"/>
      <c r="AH169" s="100"/>
      <c r="AI169" s="100"/>
      <c r="AJ169" s="100"/>
      <c r="AK169" s="100"/>
      <c r="AL169" s="100"/>
      <c r="AM169" s="100"/>
      <c r="AN169" s="100"/>
      <c r="AO169" s="100"/>
      <c r="AP169" s="100"/>
      <c r="AQ169" s="100"/>
      <c r="AR169" s="100"/>
      <c r="AS169" s="101"/>
      <c r="AT169" s="100"/>
      <c r="AU169" s="100"/>
      <c r="AV169" s="100"/>
      <c r="AW169" s="100"/>
      <c r="AX169" s="100"/>
      <c r="AY169" s="100"/>
      <c r="AZ169" s="100"/>
      <c r="BA169" s="100"/>
      <c r="BB169" s="100"/>
      <c r="BC169" s="100"/>
      <c r="BD169" s="100"/>
      <c r="BE169" s="100"/>
      <c r="BF169" s="100"/>
      <c r="BG169" s="100"/>
      <c r="BH169" s="103"/>
    </row>
    <row r="170" spans="1:60" s="170" customFormat="1" ht="28.5" x14ac:dyDescent="0.2">
      <c r="A170" s="23"/>
      <c r="B170" s="19" t="s">
        <v>180</v>
      </c>
      <c r="C170" s="257" t="s">
        <v>307</v>
      </c>
      <c r="D170" s="99">
        <f>F170+G170+H170+N170+P170+Q170+R170+AE170+AS170+BB170</f>
        <v>1897849</v>
      </c>
      <c r="E170" s="99">
        <f>F170+G170+H170+O170+N170+P170+Q170+S170+AE170+AS170+BB170+BE170+BG170+BH170</f>
        <v>1897849</v>
      </c>
      <c r="F170" s="104"/>
      <c r="G170" s="101"/>
      <c r="H170" s="101"/>
      <c r="I170" s="100"/>
      <c r="J170" s="100"/>
      <c r="K170" s="100"/>
      <c r="L170" s="100"/>
      <c r="M170" s="100"/>
      <c r="N170" s="101"/>
      <c r="O170" s="101"/>
      <c r="P170" s="101"/>
      <c r="Q170" s="101"/>
      <c r="R170" s="101"/>
      <c r="S170" s="101">
        <f t="shared" si="200"/>
        <v>0</v>
      </c>
      <c r="T170" s="100"/>
      <c r="U170" s="102"/>
      <c r="V170" s="102"/>
      <c r="W170" s="100"/>
      <c r="X170" s="100"/>
      <c r="Y170" s="100"/>
      <c r="Z170" s="100"/>
      <c r="AA170" s="100"/>
      <c r="AB170" s="100"/>
      <c r="AC170" s="100"/>
      <c r="AD170" s="100"/>
      <c r="AE170" s="101">
        <f>AR170</f>
        <v>0</v>
      </c>
      <c r="AF170" s="100"/>
      <c r="AG170" s="100"/>
      <c r="AH170" s="100"/>
      <c r="AI170" s="100"/>
      <c r="AJ170" s="100"/>
      <c r="AK170" s="100"/>
      <c r="AL170" s="100"/>
      <c r="AM170" s="100"/>
      <c r="AN170" s="100"/>
      <c r="AO170" s="100"/>
      <c r="AP170" s="100"/>
      <c r="AQ170" s="100"/>
      <c r="AR170" s="100"/>
      <c r="AS170" s="101">
        <f>SUM(AT170:AZ170)</f>
        <v>1897849</v>
      </c>
      <c r="AT170" s="100"/>
      <c r="AU170" s="247">
        <f>957890+939959</f>
        <v>1897849</v>
      </c>
      <c r="AV170" s="100"/>
      <c r="AW170" s="100"/>
      <c r="AX170" s="100"/>
      <c r="AY170" s="100"/>
      <c r="AZ170" s="100"/>
      <c r="BA170" s="100"/>
      <c r="BB170" s="100"/>
      <c r="BC170" s="100"/>
      <c r="BD170" s="100"/>
      <c r="BE170" s="100"/>
      <c r="BF170" s="100"/>
      <c r="BG170" s="100"/>
      <c r="BH170" s="103"/>
    </row>
    <row r="171" spans="1:60" s="3" customFormat="1" ht="17.100000000000001" customHeight="1" x14ac:dyDescent="0.2">
      <c r="A171" s="23"/>
      <c r="B171" s="19" t="s">
        <v>180</v>
      </c>
      <c r="C171" s="245" t="s">
        <v>62</v>
      </c>
      <c r="D171" s="99">
        <f>F171+G171+H171+N171+P171+Q171+R171+AE171+AS171+BB171+BH171+BE171</f>
        <v>439678</v>
      </c>
      <c r="E171" s="99">
        <f>F171+G171+H171+O171+N171+P171+Q171+S171+AE171+AS171+BB171+BE171+BG171+BH171</f>
        <v>439678</v>
      </c>
      <c r="F171" s="104"/>
      <c r="G171" s="101"/>
      <c r="H171" s="101">
        <f>SUM(I171:M171)</f>
        <v>0</v>
      </c>
      <c r="I171" s="100"/>
      <c r="J171" s="100"/>
      <c r="K171" s="100"/>
      <c r="L171" s="100"/>
      <c r="M171" s="100"/>
      <c r="N171" s="101"/>
      <c r="O171" s="101"/>
      <c r="P171" s="101"/>
      <c r="Q171" s="101"/>
      <c r="R171" s="101">
        <f>T171+U171+W171+Y171+AA171+AB171+AC171</f>
        <v>0</v>
      </c>
      <c r="S171" s="101">
        <f t="shared" ref="S171:S172" si="201">T171+V171+X171+Z171+AA171+AB171+AD171</f>
        <v>0</v>
      </c>
      <c r="T171" s="100"/>
      <c r="U171" s="102"/>
      <c r="V171" s="102"/>
      <c r="W171" s="100"/>
      <c r="X171" s="100"/>
      <c r="Y171" s="100"/>
      <c r="Z171" s="100"/>
      <c r="AA171" s="100"/>
      <c r="AB171" s="100"/>
      <c r="AC171" s="100"/>
      <c r="AD171" s="100"/>
      <c r="AE171" s="101">
        <f>SUM(AF171:AR171)</f>
        <v>0</v>
      </c>
      <c r="AF171" s="100"/>
      <c r="AG171" s="100"/>
      <c r="AH171" s="100"/>
      <c r="AI171" s="100"/>
      <c r="AJ171" s="100"/>
      <c r="AK171" s="100"/>
      <c r="AL171" s="100"/>
      <c r="AM171" s="100"/>
      <c r="AN171" s="100"/>
      <c r="AO171" s="100"/>
      <c r="AP171" s="100"/>
      <c r="AQ171" s="100"/>
      <c r="AR171" s="100"/>
      <c r="AS171" s="101">
        <f>SUM(AT171:AZ171)</f>
        <v>0</v>
      </c>
      <c r="AT171" s="100"/>
      <c r="AU171" s="100"/>
      <c r="AV171" s="100"/>
      <c r="AW171" s="100"/>
      <c r="AX171" s="100"/>
      <c r="AY171" s="100"/>
      <c r="AZ171" s="100"/>
      <c r="BA171" s="100"/>
      <c r="BB171" s="100"/>
      <c r="BC171" s="100"/>
      <c r="BD171" s="100"/>
      <c r="BE171" s="100"/>
      <c r="BF171" s="100"/>
      <c r="BG171" s="100"/>
      <c r="BH171" s="256">
        <f>327928+111750</f>
        <v>439678</v>
      </c>
    </row>
    <row r="172" spans="1:60" s="3" customFormat="1" ht="17.100000000000001" customHeight="1" x14ac:dyDescent="0.2">
      <c r="A172" s="23"/>
      <c r="B172" s="19" t="s">
        <v>180</v>
      </c>
      <c r="C172" s="93" t="s">
        <v>324</v>
      </c>
      <c r="D172" s="99">
        <f>F172+G172+H172+N172+P172+Q172+R172+AE172+AS172+BB172+BH172+BE172</f>
        <v>100000</v>
      </c>
      <c r="E172" s="99">
        <f>F172+G172+H172+O172+N172+P172+Q172+S172+AE172+AS172+BB172+BE172+BG172+BH172</f>
        <v>100000</v>
      </c>
      <c r="F172" s="104"/>
      <c r="G172" s="101"/>
      <c r="H172" s="101">
        <f>SUM(I172:M172)</f>
        <v>0</v>
      </c>
      <c r="I172" s="100"/>
      <c r="J172" s="100"/>
      <c r="K172" s="100"/>
      <c r="L172" s="100"/>
      <c r="M172" s="100"/>
      <c r="N172" s="101"/>
      <c r="O172" s="101"/>
      <c r="P172" s="101"/>
      <c r="Q172" s="101"/>
      <c r="R172" s="101">
        <f>T172+U172+W172+Y172+AA172+AB172+AC172</f>
        <v>0</v>
      </c>
      <c r="S172" s="101">
        <f t="shared" si="201"/>
        <v>0</v>
      </c>
      <c r="T172" s="100"/>
      <c r="U172" s="102"/>
      <c r="V172" s="102"/>
      <c r="W172" s="100"/>
      <c r="X172" s="100"/>
      <c r="Y172" s="100"/>
      <c r="Z172" s="100"/>
      <c r="AA172" s="100"/>
      <c r="AB172" s="100"/>
      <c r="AC172" s="100"/>
      <c r="AD172" s="100"/>
      <c r="AE172" s="101">
        <f>SUM(AF172:AR172)</f>
        <v>0</v>
      </c>
      <c r="AF172" s="100"/>
      <c r="AG172" s="100"/>
      <c r="AH172" s="100"/>
      <c r="AI172" s="100"/>
      <c r="AJ172" s="100"/>
      <c r="AK172" s="100"/>
      <c r="AL172" s="100"/>
      <c r="AM172" s="100"/>
      <c r="AN172" s="100"/>
      <c r="AO172" s="100"/>
      <c r="AP172" s="100"/>
      <c r="AQ172" s="100"/>
      <c r="AR172" s="100"/>
      <c r="AS172" s="101">
        <f>SUM(AT172:AZ172)</f>
        <v>0</v>
      </c>
      <c r="AT172" s="100"/>
      <c r="AU172" s="100"/>
      <c r="AV172" s="100"/>
      <c r="AW172" s="100"/>
      <c r="AX172" s="100"/>
      <c r="AY172" s="100"/>
      <c r="AZ172" s="100"/>
      <c r="BA172" s="100"/>
      <c r="BB172" s="100"/>
      <c r="BC172" s="100"/>
      <c r="BD172" s="100"/>
      <c r="BE172" s="100"/>
      <c r="BF172" s="100"/>
      <c r="BG172" s="100"/>
      <c r="BH172" s="103">
        <v>100000</v>
      </c>
    </row>
    <row r="173" spans="1:60" s="3" customFormat="1" ht="17.100000000000001" customHeight="1" x14ac:dyDescent="0.2">
      <c r="A173" s="23"/>
      <c r="B173" s="19" t="s">
        <v>180</v>
      </c>
      <c r="C173" s="245" t="s">
        <v>328</v>
      </c>
      <c r="D173" s="99">
        <f>F173+G173+H173+N173+P173+Q173+R173+AE173+AS173+BB173+BH173+BE173</f>
        <v>404580</v>
      </c>
      <c r="E173" s="99">
        <f>F173+G173+H173+O173+N173+P173+Q173+S173+AE173+AS173+BB173+BE173+BG173+BH173</f>
        <v>404580</v>
      </c>
      <c r="F173" s="104"/>
      <c r="G173" s="101"/>
      <c r="H173" s="101">
        <f>SUM(I173:M173)</f>
        <v>0</v>
      </c>
      <c r="I173" s="100"/>
      <c r="J173" s="100"/>
      <c r="K173" s="100"/>
      <c r="L173" s="100"/>
      <c r="M173" s="100"/>
      <c r="N173" s="101"/>
      <c r="O173" s="101"/>
      <c r="P173" s="101"/>
      <c r="Q173" s="101"/>
      <c r="R173" s="101">
        <f>T173+U173+W173+Y173+AA173+AB173+AC173</f>
        <v>0</v>
      </c>
      <c r="S173" s="101">
        <f t="shared" si="200"/>
        <v>0</v>
      </c>
      <c r="T173" s="100"/>
      <c r="U173" s="102"/>
      <c r="V173" s="102"/>
      <c r="W173" s="100"/>
      <c r="X173" s="100"/>
      <c r="Y173" s="100"/>
      <c r="Z173" s="100"/>
      <c r="AA173" s="100"/>
      <c r="AB173" s="100"/>
      <c r="AC173" s="100"/>
      <c r="AD173" s="100"/>
      <c r="AE173" s="101">
        <f>SUM(AF173:AR173)</f>
        <v>0</v>
      </c>
      <c r="AF173" s="100"/>
      <c r="AG173" s="100"/>
      <c r="AH173" s="100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1">
        <f>SUM(AT173:AZ173)</f>
        <v>404580</v>
      </c>
      <c r="AT173" s="100"/>
      <c r="AU173" s="247">
        <v>404580</v>
      </c>
      <c r="AV173" s="100"/>
      <c r="AW173" s="100"/>
      <c r="AX173" s="100"/>
      <c r="AY173" s="100"/>
      <c r="AZ173" s="100"/>
      <c r="BA173" s="100"/>
      <c r="BB173" s="100"/>
      <c r="BC173" s="100"/>
      <c r="BD173" s="100"/>
      <c r="BE173" s="100"/>
      <c r="BF173" s="100"/>
      <c r="BG173" s="100"/>
      <c r="BH173" s="103"/>
    </row>
    <row r="174" spans="1:60" s="3" customFormat="1" ht="15.75" customHeight="1" x14ac:dyDescent="0.2">
      <c r="A174" s="23"/>
      <c r="B174" s="22"/>
      <c r="C174" s="145" t="s">
        <v>181</v>
      </c>
      <c r="D174" s="128">
        <f>SUM(D175:D183)</f>
        <v>398769</v>
      </c>
      <c r="E174" s="128">
        <f>SUM(E175:E183)</f>
        <v>398769</v>
      </c>
      <c r="F174" s="104">
        <f t="shared" ref="F174:G174" si="202">SUM(F175:F183)</f>
        <v>0</v>
      </c>
      <c r="G174" s="101">
        <f t="shared" si="202"/>
        <v>0</v>
      </c>
      <c r="H174" s="101">
        <f t="shared" ref="H174:AD174" si="203">SUM(H175:H183)</f>
        <v>0</v>
      </c>
      <c r="I174" s="101">
        <f t="shared" si="203"/>
        <v>0</v>
      </c>
      <c r="J174" s="101">
        <f t="shared" si="203"/>
        <v>0</v>
      </c>
      <c r="K174" s="101">
        <f t="shared" si="203"/>
        <v>0</v>
      </c>
      <c r="L174" s="101">
        <f t="shared" si="203"/>
        <v>0</v>
      </c>
      <c r="M174" s="101">
        <f t="shared" si="203"/>
        <v>0</v>
      </c>
      <c r="N174" s="101">
        <f t="shared" si="203"/>
        <v>0</v>
      </c>
      <c r="O174" s="101">
        <f>SUM(O175:O183)</f>
        <v>0</v>
      </c>
      <c r="P174" s="101">
        <f t="shared" si="203"/>
        <v>0</v>
      </c>
      <c r="Q174" s="101">
        <f t="shared" si="203"/>
        <v>0</v>
      </c>
      <c r="R174" s="101">
        <f t="shared" si="203"/>
        <v>0</v>
      </c>
      <c r="S174" s="101">
        <f t="shared" ref="S174" si="204">SUM(S175:S183)</f>
        <v>0</v>
      </c>
      <c r="T174" s="101">
        <f t="shared" si="203"/>
        <v>0</v>
      </c>
      <c r="U174" s="101">
        <f t="shared" si="203"/>
        <v>0</v>
      </c>
      <c r="V174" s="101">
        <f t="shared" si="203"/>
        <v>0</v>
      </c>
      <c r="W174" s="101">
        <f t="shared" si="203"/>
        <v>0</v>
      </c>
      <c r="X174" s="101">
        <f t="shared" si="203"/>
        <v>0</v>
      </c>
      <c r="Y174" s="101">
        <f t="shared" si="203"/>
        <v>0</v>
      </c>
      <c r="Z174" s="101">
        <f t="shared" si="203"/>
        <v>0</v>
      </c>
      <c r="AA174" s="101">
        <f t="shared" si="203"/>
        <v>0</v>
      </c>
      <c r="AB174" s="101">
        <f t="shared" si="203"/>
        <v>0</v>
      </c>
      <c r="AC174" s="101">
        <f t="shared" si="203"/>
        <v>0</v>
      </c>
      <c r="AD174" s="101">
        <f t="shared" si="203"/>
        <v>0</v>
      </c>
      <c r="AE174" s="101">
        <f>AF174+AG174+AI174+AJ174+AK174+AL174+AM174+AN174+AP174+AR174</f>
        <v>0</v>
      </c>
      <c r="AF174" s="101">
        <f t="shared" ref="AF174:AU174" si="205">SUM(AF175:AF183)</f>
        <v>0</v>
      </c>
      <c r="AG174" s="101">
        <f t="shared" si="205"/>
        <v>0</v>
      </c>
      <c r="AH174" s="101"/>
      <c r="AI174" s="101">
        <f t="shared" si="205"/>
        <v>0</v>
      </c>
      <c r="AJ174" s="101">
        <f t="shared" si="205"/>
        <v>0</v>
      </c>
      <c r="AK174" s="101">
        <f t="shared" si="205"/>
        <v>0</v>
      </c>
      <c r="AL174" s="101">
        <f t="shared" si="205"/>
        <v>0</v>
      </c>
      <c r="AM174" s="101">
        <f t="shared" si="205"/>
        <v>0</v>
      </c>
      <c r="AN174" s="101">
        <f t="shared" si="205"/>
        <v>0</v>
      </c>
      <c r="AO174" s="101">
        <f>SUM(AO175:AO183)</f>
        <v>0</v>
      </c>
      <c r="AP174" s="101">
        <f t="shared" si="205"/>
        <v>0</v>
      </c>
      <c r="AQ174" s="101">
        <f t="shared" ref="AQ174" si="206">SUM(AQ175:AQ183)</f>
        <v>0</v>
      </c>
      <c r="AR174" s="101">
        <f t="shared" si="205"/>
        <v>0</v>
      </c>
      <c r="AS174" s="101">
        <f>SUM(AS175:AS183)</f>
        <v>398769</v>
      </c>
      <c r="AT174" s="101">
        <f t="shared" si="205"/>
        <v>0</v>
      </c>
      <c r="AU174" s="101">
        <f t="shared" si="205"/>
        <v>398769</v>
      </c>
      <c r="AV174" s="101">
        <f>SUM(AV175:AV183)</f>
        <v>0</v>
      </c>
      <c r="AW174" s="101">
        <f>SUM(AW175:AW183)</f>
        <v>0</v>
      </c>
      <c r="AX174" s="101"/>
      <c r="AY174" s="101">
        <f>SUM(AY175:AY183)</f>
        <v>0</v>
      </c>
      <c r="AZ174" s="101">
        <f>SUM(AZ175:AZ183)</f>
        <v>0</v>
      </c>
      <c r="BA174" s="101"/>
      <c r="BB174" s="101">
        <f>SUM(BB175:BB183)</f>
        <v>0</v>
      </c>
      <c r="BC174" s="100"/>
      <c r="BD174" s="100"/>
      <c r="BE174" s="101"/>
      <c r="BF174" s="101"/>
      <c r="BG174" s="100"/>
      <c r="BH174" s="106"/>
    </row>
    <row r="175" spans="1:60" s="3" customFormat="1" ht="17.100000000000001" customHeight="1" x14ac:dyDescent="0.2">
      <c r="A175" s="23"/>
      <c r="B175" s="73" t="s">
        <v>180</v>
      </c>
      <c r="C175" s="107" t="s">
        <v>182</v>
      </c>
      <c r="D175" s="99">
        <f t="shared" ref="D175:D183" si="207">F175+G175+H175+N175+P175+Q175+R175+AE175+AS175+BB175</f>
        <v>50868</v>
      </c>
      <c r="E175" s="99">
        <f t="shared" ref="E175:E183" si="208">F175+G175+H175+O175+N175+P175+Q175+S175+AE175+AS175+BB175+BE175+BG175+BH175</f>
        <v>50868</v>
      </c>
      <c r="F175" s="104"/>
      <c r="G175" s="101"/>
      <c r="H175" s="101">
        <f>SUM(I175:M175)</f>
        <v>0</v>
      </c>
      <c r="I175" s="100"/>
      <c r="J175" s="100"/>
      <c r="K175" s="100"/>
      <c r="L175" s="100"/>
      <c r="M175" s="100"/>
      <c r="N175" s="101"/>
      <c r="O175" s="101"/>
      <c r="P175" s="101"/>
      <c r="Q175" s="101"/>
      <c r="R175" s="101">
        <f>T175+U175+W175+Y175+AA175+AB175+AC175</f>
        <v>0</v>
      </c>
      <c r="S175" s="101">
        <f t="shared" ref="S175:S183" si="209">T175+V175+X175+Z175+AA175+AB175+AD175</f>
        <v>0</v>
      </c>
      <c r="T175" s="100"/>
      <c r="U175" s="102"/>
      <c r="V175" s="102"/>
      <c r="W175" s="100"/>
      <c r="X175" s="100"/>
      <c r="Y175" s="100"/>
      <c r="Z175" s="100"/>
      <c r="AA175" s="100"/>
      <c r="AB175" s="100"/>
      <c r="AC175" s="100"/>
      <c r="AD175" s="100"/>
      <c r="AE175" s="101">
        <f>SUM(AF175:AR175)</f>
        <v>0</v>
      </c>
      <c r="AF175" s="100"/>
      <c r="AG175" s="100"/>
      <c r="AH175" s="100"/>
      <c r="AI175" s="100"/>
      <c r="AJ175" s="100"/>
      <c r="AK175" s="100"/>
      <c r="AL175" s="100"/>
      <c r="AM175" s="100"/>
      <c r="AN175" s="100"/>
      <c r="AO175" s="100"/>
      <c r="AP175" s="100"/>
      <c r="AQ175" s="100"/>
      <c r="AR175" s="100"/>
      <c r="AS175" s="101">
        <f t="shared" ref="AS175:AS183" si="210">SUM(AT175:AZ175)</f>
        <v>50868</v>
      </c>
      <c r="AT175" s="100"/>
      <c r="AU175" s="215">
        <v>50868</v>
      </c>
      <c r="AV175" s="100"/>
      <c r="AW175" s="100"/>
      <c r="AX175" s="100"/>
      <c r="AY175" s="100"/>
      <c r="AZ175" s="100"/>
      <c r="BA175" s="100"/>
      <c r="BB175" s="100"/>
      <c r="BC175" s="100"/>
      <c r="BD175" s="100"/>
      <c r="BE175" s="100"/>
      <c r="BF175" s="100"/>
      <c r="BG175" s="100"/>
      <c r="BH175" s="103"/>
    </row>
    <row r="176" spans="1:60" s="3" customFormat="1" ht="17.100000000000001" customHeight="1" x14ac:dyDescent="0.2">
      <c r="A176" s="23"/>
      <c r="B176" s="73" t="s">
        <v>180</v>
      </c>
      <c r="C176" s="107" t="s">
        <v>269</v>
      </c>
      <c r="D176" s="99">
        <f t="shared" si="207"/>
        <v>22356</v>
      </c>
      <c r="E176" s="99">
        <f t="shared" si="208"/>
        <v>22356</v>
      </c>
      <c r="F176" s="104"/>
      <c r="G176" s="101"/>
      <c r="H176" s="101"/>
      <c r="I176" s="100"/>
      <c r="J176" s="100"/>
      <c r="K176" s="100"/>
      <c r="L176" s="100"/>
      <c r="M176" s="100"/>
      <c r="N176" s="101"/>
      <c r="O176" s="101"/>
      <c r="P176" s="101"/>
      <c r="Q176" s="101"/>
      <c r="R176" s="101"/>
      <c r="S176" s="101">
        <f t="shared" si="209"/>
        <v>0</v>
      </c>
      <c r="T176" s="100"/>
      <c r="U176" s="102"/>
      <c r="V176" s="102"/>
      <c r="W176" s="100"/>
      <c r="X176" s="100"/>
      <c r="Y176" s="100"/>
      <c r="Z176" s="100"/>
      <c r="AA176" s="100"/>
      <c r="AB176" s="100"/>
      <c r="AC176" s="100"/>
      <c r="AD176" s="100"/>
      <c r="AE176" s="101"/>
      <c r="AF176" s="100"/>
      <c r="AG176" s="100"/>
      <c r="AH176" s="100"/>
      <c r="AI176" s="100"/>
      <c r="AJ176" s="100"/>
      <c r="AK176" s="100"/>
      <c r="AL176" s="100"/>
      <c r="AM176" s="100"/>
      <c r="AN176" s="100"/>
      <c r="AO176" s="100"/>
      <c r="AP176" s="100"/>
      <c r="AQ176" s="100"/>
      <c r="AR176" s="100"/>
      <c r="AS176" s="101">
        <f t="shared" si="210"/>
        <v>22356</v>
      </c>
      <c r="AT176" s="100"/>
      <c r="AU176" s="215">
        <v>22356</v>
      </c>
      <c r="AV176" s="100"/>
      <c r="AW176" s="100"/>
      <c r="AX176" s="100"/>
      <c r="AY176" s="100"/>
      <c r="AZ176" s="100"/>
      <c r="BA176" s="100"/>
      <c r="BB176" s="100"/>
      <c r="BC176" s="100"/>
      <c r="BD176" s="100"/>
      <c r="BE176" s="100"/>
      <c r="BF176" s="100"/>
      <c r="BG176" s="100"/>
      <c r="BH176" s="103"/>
    </row>
    <row r="177" spans="1:60" s="3" customFormat="1" ht="17.100000000000001" customHeight="1" x14ac:dyDescent="0.2">
      <c r="A177" s="23"/>
      <c r="B177" s="73" t="s">
        <v>180</v>
      </c>
      <c r="C177" s="107" t="s">
        <v>183</v>
      </c>
      <c r="D177" s="99">
        <f t="shared" si="207"/>
        <v>49601</v>
      </c>
      <c r="E177" s="99">
        <f t="shared" si="208"/>
        <v>49601</v>
      </c>
      <c r="F177" s="104"/>
      <c r="G177" s="101"/>
      <c r="H177" s="101"/>
      <c r="I177" s="100"/>
      <c r="J177" s="100"/>
      <c r="K177" s="100"/>
      <c r="L177" s="100"/>
      <c r="M177" s="100"/>
      <c r="N177" s="101"/>
      <c r="O177" s="101"/>
      <c r="P177" s="101"/>
      <c r="Q177" s="101"/>
      <c r="R177" s="101"/>
      <c r="S177" s="101">
        <f t="shared" si="209"/>
        <v>0</v>
      </c>
      <c r="T177" s="100"/>
      <c r="U177" s="102"/>
      <c r="V177" s="102"/>
      <c r="W177" s="100"/>
      <c r="X177" s="100"/>
      <c r="Y177" s="100"/>
      <c r="Z177" s="100"/>
      <c r="AA177" s="100"/>
      <c r="AB177" s="100"/>
      <c r="AC177" s="100"/>
      <c r="AD177" s="100"/>
      <c r="AE177" s="101"/>
      <c r="AF177" s="100"/>
      <c r="AG177" s="100"/>
      <c r="AH177" s="100"/>
      <c r="AI177" s="100"/>
      <c r="AJ177" s="100"/>
      <c r="AK177" s="100"/>
      <c r="AL177" s="100"/>
      <c r="AM177" s="100"/>
      <c r="AN177" s="100"/>
      <c r="AO177" s="100"/>
      <c r="AP177" s="100"/>
      <c r="AQ177" s="100"/>
      <c r="AR177" s="100"/>
      <c r="AS177" s="101">
        <f t="shared" si="210"/>
        <v>49601</v>
      </c>
      <c r="AT177" s="100"/>
      <c r="AU177" s="215">
        <v>49601</v>
      </c>
      <c r="AV177" s="100"/>
      <c r="AW177" s="100"/>
      <c r="AX177" s="100"/>
      <c r="AY177" s="100"/>
      <c r="AZ177" s="100"/>
      <c r="BA177" s="100"/>
      <c r="BB177" s="100"/>
      <c r="BC177" s="100"/>
      <c r="BD177" s="100"/>
      <c r="BE177" s="100"/>
      <c r="BF177" s="100"/>
      <c r="BG177" s="100"/>
      <c r="BH177" s="103"/>
    </row>
    <row r="178" spans="1:60" s="3" customFormat="1" ht="17.100000000000001" customHeight="1" x14ac:dyDescent="0.2">
      <c r="A178" s="23"/>
      <c r="B178" s="73" t="s">
        <v>180</v>
      </c>
      <c r="C178" s="107" t="s">
        <v>184</v>
      </c>
      <c r="D178" s="99">
        <f t="shared" si="207"/>
        <v>59557</v>
      </c>
      <c r="E178" s="99">
        <f t="shared" si="208"/>
        <v>59557</v>
      </c>
      <c r="F178" s="104"/>
      <c r="G178" s="101"/>
      <c r="H178" s="101"/>
      <c r="I178" s="100"/>
      <c r="J178" s="100"/>
      <c r="K178" s="100"/>
      <c r="L178" s="100"/>
      <c r="M178" s="100"/>
      <c r="N178" s="101"/>
      <c r="O178" s="101"/>
      <c r="P178" s="101"/>
      <c r="Q178" s="101"/>
      <c r="R178" s="101"/>
      <c r="S178" s="101">
        <f t="shared" si="209"/>
        <v>0</v>
      </c>
      <c r="T178" s="100"/>
      <c r="U178" s="102"/>
      <c r="V178" s="102"/>
      <c r="W178" s="100"/>
      <c r="X178" s="100"/>
      <c r="Y178" s="100"/>
      <c r="Z178" s="100"/>
      <c r="AA178" s="100"/>
      <c r="AB178" s="100"/>
      <c r="AC178" s="100"/>
      <c r="AD178" s="100"/>
      <c r="AE178" s="101"/>
      <c r="AF178" s="100"/>
      <c r="AG178" s="100"/>
      <c r="AH178" s="100"/>
      <c r="AI178" s="100"/>
      <c r="AJ178" s="100"/>
      <c r="AK178" s="100"/>
      <c r="AL178" s="100"/>
      <c r="AM178" s="100"/>
      <c r="AN178" s="100"/>
      <c r="AO178" s="100"/>
      <c r="AP178" s="100"/>
      <c r="AQ178" s="100"/>
      <c r="AR178" s="100"/>
      <c r="AS178" s="101">
        <f t="shared" si="210"/>
        <v>59557</v>
      </c>
      <c r="AT178" s="100"/>
      <c r="AU178" s="215">
        <v>59557</v>
      </c>
      <c r="AV178" s="100"/>
      <c r="AW178" s="100"/>
      <c r="AX178" s="100"/>
      <c r="AY178" s="100"/>
      <c r="AZ178" s="100"/>
      <c r="BA178" s="100"/>
      <c r="BB178" s="100"/>
      <c r="BC178" s="100"/>
      <c r="BD178" s="100"/>
      <c r="BE178" s="100"/>
      <c r="BF178" s="100"/>
      <c r="BG178" s="100"/>
      <c r="BH178" s="103"/>
    </row>
    <row r="179" spans="1:60" s="3" customFormat="1" ht="17.100000000000001" customHeight="1" x14ac:dyDescent="0.2">
      <c r="A179" s="23"/>
      <c r="B179" s="73" t="s">
        <v>180</v>
      </c>
      <c r="C179" s="107" t="s">
        <v>185</v>
      </c>
      <c r="D179" s="99">
        <f t="shared" si="207"/>
        <v>17288</v>
      </c>
      <c r="E179" s="99">
        <f t="shared" si="208"/>
        <v>17288</v>
      </c>
      <c r="F179" s="104"/>
      <c r="G179" s="101"/>
      <c r="H179" s="101"/>
      <c r="I179" s="100"/>
      <c r="J179" s="100"/>
      <c r="K179" s="100"/>
      <c r="L179" s="100"/>
      <c r="M179" s="100"/>
      <c r="N179" s="101"/>
      <c r="O179" s="101"/>
      <c r="P179" s="101"/>
      <c r="Q179" s="101"/>
      <c r="R179" s="101"/>
      <c r="S179" s="101">
        <f t="shared" si="209"/>
        <v>0</v>
      </c>
      <c r="T179" s="100"/>
      <c r="U179" s="102"/>
      <c r="V179" s="102"/>
      <c r="W179" s="100"/>
      <c r="X179" s="100"/>
      <c r="Y179" s="100"/>
      <c r="Z179" s="100"/>
      <c r="AA179" s="100"/>
      <c r="AB179" s="100"/>
      <c r="AC179" s="100"/>
      <c r="AD179" s="100"/>
      <c r="AE179" s="101"/>
      <c r="AF179" s="100"/>
      <c r="AG179" s="100"/>
      <c r="AH179" s="100"/>
      <c r="AI179" s="100"/>
      <c r="AJ179" s="100"/>
      <c r="AK179" s="100"/>
      <c r="AL179" s="100"/>
      <c r="AM179" s="100"/>
      <c r="AN179" s="100"/>
      <c r="AO179" s="100"/>
      <c r="AP179" s="100"/>
      <c r="AQ179" s="100"/>
      <c r="AR179" s="100"/>
      <c r="AS179" s="101">
        <f t="shared" si="210"/>
        <v>17288</v>
      </c>
      <c r="AT179" s="100"/>
      <c r="AU179" s="215">
        <v>17288</v>
      </c>
      <c r="AV179" s="100"/>
      <c r="AW179" s="100"/>
      <c r="AX179" s="100"/>
      <c r="AY179" s="100"/>
      <c r="AZ179" s="100"/>
      <c r="BA179" s="100"/>
      <c r="BB179" s="100"/>
      <c r="BC179" s="100"/>
      <c r="BD179" s="100"/>
      <c r="BE179" s="100"/>
      <c r="BF179" s="100"/>
      <c r="BG179" s="100"/>
      <c r="BH179" s="103"/>
    </row>
    <row r="180" spans="1:60" s="3" customFormat="1" ht="17.100000000000001" customHeight="1" x14ac:dyDescent="0.2">
      <c r="A180" s="23"/>
      <c r="B180" s="73" t="s">
        <v>180</v>
      </c>
      <c r="C180" s="107" t="s">
        <v>186</v>
      </c>
      <c r="D180" s="99">
        <f t="shared" si="207"/>
        <v>37110</v>
      </c>
      <c r="E180" s="99">
        <f t="shared" si="208"/>
        <v>37110</v>
      </c>
      <c r="F180" s="104"/>
      <c r="G180" s="101"/>
      <c r="H180" s="101"/>
      <c r="I180" s="100"/>
      <c r="J180" s="100"/>
      <c r="K180" s="100"/>
      <c r="L180" s="100"/>
      <c r="M180" s="100"/>
      <c r="N180" s="101"/>
      <c r="O180" s="101"/>
      <c r="P180" s="101"/>
      <c r="Q180" s="101"/>
      <c r="R180" s="101"/>
      <c r="S180" s="101">
        <f t="shared" si="209"/>
        <v>0</v>
      </c>
      <c r="T180" s="100"/>
      <c r="U180" s="102"/>
      <c r="V180" s="102"/>
      <c r="W180" s="100"/>
      <c r="X180" s="100"/>
      <c r="Y180" s="100"/>
      <c r="Z180" s="100"/>
      <c r="AA180" s="100"/>
      <c r="AB180" s="100"/>
      <c r="AC180" s="100"/>
      <c r="AD180" s="100"/>
      <c r="AE180" s="101"/>
      <c r="AF180" s="100"/>
      <c r="AG180" s="100"/>
      <c r="AH180" s="100"/>
      <c r="AI180" s="100"/>
      <c r="AJ180" s="100"/>
      <c r="AK180" s="100"/>
      <c r="AL180" s="100"/>
      <c r="AM180" s="100"/>
      <c r="AN180" s="100"/>
      <c r="AO180" s="100"/>
      <c r="AP180" s="100"/>
      <c r="AQ180" s="100"/>
      <c r="AR180" s="100"/>
      <c r="AS180" s="101">
        <f t="shared" si="210"/>
        <v>37110</v>
      </c>
      <c r="AT180" s="100"/>
      <c r="AU180" s="215">
        <v>37110</v>
      </c>
      <c r="AV180" s="100"/>
      <c r="AW180" s="100"/>
      <c r="AX180" s="100"/>
      <c r="AY180" s="100"/>
      <c r="AZ180" s="100"/>
      <c r="BA180" s="100"/>
      <c r="BB180" s="100"/>
      <c r="BC180" s="100"/>
      <c r="BD180" s="100"/>
      <c r="BE180" s="100"/>
      <c r="BF180" s="100"/>
      <c r="BG180" s="100"/>
      <c r="BH180" s="103"/>
    </row>
    <row r="181" spans="1:60" s="3" customFormat="1" ht="17.100000000000001" customHeight="1" x14ac:dyDescent="0.2">
      <c r="A181" s="23"/>
      <c r="B181" s="73" t="s">
        <v>180</v>
      </c>
      <c r="C181" s="250" t="s">
        <v>187</v>
      </c>
      <c r="D181" s="99">
        <f t="shared" si="207"/>
        <v>70934</v>
      </c>
      <c r="E181" s="99">
        <f t="shared" si="208"/>
        <v>70934</v>
      </c>
      <c r="F181" s="104"/>
      <c r="G181" s="101"/>
      <c r="H181" s="101"/>
      <c r="I181" s="100"/>
      <c r="J181" s="100"/>
      <c r="K181" s="100"/>
      <c r="L181" s="100"/>
      <c r="M181" s="100"/>
      <c r="N181" s="101"/>
      <c r="O181" s="101"/>
      <c r="P181" s="101"/>
      <c r="Q181" s="101"/>
      <c r="R181" s="101"/>
      <c r="S181" s="101">
        <f t="shared" si="209"/>
        <v>0</v>
      </c>
      <c r="T181" s="100"/>
      <c r="U181" s="102"/>
      <c r="V181" s="102"/>
      <c r="W181" s="100"/>
      <c r="X181" s="100"/>
      <c r="Y181" s="100"/>
      <c r="Z181" s="100"/>
      <c r="AA181" s="100"/>
      <c r="AB181" s="100"/>
      <c r="AC181" s="100"/>
      <c r="AD181" s="100"/>
      <c r="AE181" s="101"/>
      <c r="AF181" s="100"/>
      <c r="AG181" s="100"/>
      <c r="AH181" s="100"/>
      <c r="AI181" s="100"/>
      <c r="AJ181" s="100"/>
      <c r="AK181" s="100"/>
      <c r="AL181" s="100"/>
      <c r="AM181" s="100"/>
      <c r="AN181" s="100"/>
      <c r="AO181" s="100"/>
      <c r="AP181" s="100"/>
      <c r="AQ181" s="100"/>
      <c r="AR181" s="100"/>
      <c r="AS181" s="101">
        <f t="shared" si="210"/>
        <v>70934</v>
      </c>
      <c r="AT181" s="100"/>
      <c r="AU181" s="258">
        <f>49872+21062</f>
        <v>70934</v>
      </c>
      <c r="AV181" s="100"/>
      <c r="AW181" s="100"/>
      <c r="AX181" s="100"/>
      <c r="AY181" s="100"/>
      <c r="AZ181" s="100"/>
      <c r="BA181" s="100"/>
      <c r="BB181" s="100"/>
      <c r="BC181" s="100"/>
      <c r="BD181" s="100"/>
      <c r="BE181" s="100"/>
      <c r="BF181" s="100"/>
      <c r="BG181" s="100"/>
      <c r="BH181" s="103"/>
    </row>
    <row r="182" spans="1:60" s="3" customFormat="1" ht="17.100000000000001" customHeight="1" x14ac:dyDescent="0.2">
      <c r="A182" s="23"/>
      <c r="B182" s="73" t="s">
        <v>180</v>
      </c>
      <c r="C182" s="107" t="s">
        <v>188</v>
      </c>
      <c r="D182" s="99">
        <f t="shared" si="207"/>
        <v>25886</v>
      </c>
      <c r="E182" s="99">
        <f t="shared" si="208"/>
        <v>25886</v>
      </c>
      <c r="F182" s="104"/>
      <c r="G182" s="101"/>
      <c r="H182" s="101"/>
      <c r="I182" s="100"/>
      <c r="J182" s="100"/>
      <c r="K182" s="100"/>
      <c r="L182" s="100"/>
      <c r="M182" s="100"/>
      <c r="N182" s="101"/>
      <c r="O182" s="101"/>
      <c r="P182" s="101"/>
      <c r="Q182" s="101"/>
      <c r="R182" s="101"/>
      <c r="S182" s="101">
        <f t="shared" si="209"/>
        <v>0</v>
      </c>
      <c r="T182" s="100"/>
      <c r="U182" s="102"/>
      <c r="V182" s="102"/>
      <c r="W182" s="100"/>
      <c r="X182" s="100"/>
      <c r="Y182" s="100"/>
      <c r="Z182" s="100"/>
      <c r="AA182" s="100"/>
      <c r="AB182" s="100"/>
      <c r="AC182" s="100"/>
      <c r="AD182" s="100"/>
      <c r="AE182" s="101"/>
      <c r="AF182" s="100"/>
      <c r="AG182" s="100"/>
      <c r="AH182" s="100"/>
      <c r="AI182" s="100"/>
      <c r="AJ182" s="100"/>
      <c r="AK182" s="100"/>
      <c r="AL182" s="100"/>
      <c r="AM182" s="100"/>
      <c r="AN182" s="100"/>
      <c r="AO182" s="100"/>
      <c r="AP182" s="100"/>
      <c r="AQ182" s="100"/>
      <c r="AR182" s="100"/>
      <c r="AS182" s="101">
        <f t="shared" si="210"/>
        <v>25886</v>
      </c>
      <c r="AT182" s="100"/>
      <c r="AU182" s="215">
        <v>25886</v>
      </c>
      <c r="AV182" s="100"/>
      <c r="AW182" s="100"/>
      <c r="AX182" s="100"/>
      <c r="AY182" s="100"/>
      <c r="AZ182" s="100"/>
      <c r="BA182" s="100"/>
      <c r="BB182" s="100"/>
      <c r="BC182" s="100"/>
      <c r="BD182" s="100"/>
      <c r="BE182" s="100"/>
      <c r="BF182" s="100"/>
      <c r="BG182" s="100"/>
      <c r="BH182" s="103"/>
    </row>
    <row r="183" spans="1:60" s="3" customFormat="1" ht="17.100000000000001" customHeight="1" x14ac:dyDescent="0.2">
      <c r="A183" s="23"/>
      <c r="B183" s="22" t="s">
        <v>180</v>
      </c>
      <c r="C183" s="107" t="s">
        <v>189</v>
      </c>
      <c r="D183" s="99">
        <f t="shared" si="207"/>
        <v>65169</v>
      </c>
      <c r="E183" s="99">
        <f t="shared" si="208"/>
        <v>65169</v>
      </c>
      <c r="F183" s="104"/>
      <c r="G183" s="101"/>
      <c r="H183" s="101"/>
      <c r="I183" s="100"/>
      <c r="J183" s="100"/>
      <c r="K183" s="100"/>
      <c r="L183" s="100"/>
      <c r="M183" s="100"/>
      <c r="N183" s="101"/>
      <c r="O183" s="101"/>
      <c r="P183" s="101"/>
      <c r="Q183" s="101"/>
      <c r="R183" s="101"/>
      <c r="S183" s="101">
        <f t="shared" si="209"/>
        <v>0</v>
      </c>
      <c r="T183" s="100"/>
      <c r="U183" s="102"/>
      <c r="V183" s="102"/>
      <c r="W183" s="100"/>
      <c r="X183" s="100"/>
      <c r="Y183" s="100"/>
      <c r="Z183" s="100"/>
      <c r="AA183" s="100"/>
      <c r="AB183" s="100"/>
      <c r="AC183" s="100"/>
      <c r="AD183" s="100"/>
      <c r="AE183" s="101"/>
      <c r="AF183" s="100"/>
      <c r="AG183" s="100"/>
      <c r="AH183" s="100"/>
      <c r="AI183" s="100"/>
      <c r="AJ183" s="100"/>
      <c r="AK183" s="100"/>
      <c r="AL183" s="100"/>
      <c r="AM183" s="100"/>
      <c r="AN183" s="100"/>
      <c r="AO183" s="100"/>
      <c r="AP183" s="100"/>
      <c r="AQ183" s="100"/>
      <c r="AR183" s="100"/>
      <c r="AS183" s="101">
        <f t="shared" si="210"/>
        <v>65169</v>
      </c>
      <c r="AT183" s="100"/>
      <c r="AU183" s="215">
        <v>65169</v>
      </c>
      <c r="AV183" s="100"/>
      <c r="AW183" s="100"/>
      <c r="AX183" s="100"/>
      <c r="AY183" s="100"/>
      <c r="AZ183" s="100"/>
      <c r="BA183" s="100"/>
      <c r="BB183" s="100"/>
      <c r="BC183" s="100"/>
      <c r="BD183" s="100"/>
      <c r="BE183" s="100"/>
      <c r="BF183" s="100"/>
      <c r="BG183" s="100"/>
      <c r="BH183" s="103"/>
    </row>
    <row r="184" spans="1:60" s="3" customFormat="1" ht="16.5" hidden="1" customHeight="1" x14ac:dyDescent="0.2">
      <c r="A184" s="23"/>
      <c r="B184" s="20"/>
      <c r="C184" s="93"/>
      <c r="D184" s="128"/>
      <c r="E184" s="128"/>
      <c r="F184" s="104"/>
      <c r="G184" s="101"/>
      <c r="H184" s="101"/>
      <c r="I184" s="100"/>
      <c r="J184" s="100"/>
      <c r="K184" s="100"/>
      <c r="L184" s="100"/>
      <c r="M184" s="100"/>
      <c r="N184" s="101"/>
      <c r="O184" s="101"/>
      <c r="P184" s="101"/>
      <c r="Q184" s="101"/>
      <c r="R184" s="101"/>
      <c r="S184" s="101"/>
      <c r="T184" s="100"/>
      <c r="U184" s="102"/>
      <c r="V184" s="102"/>
      <c r="W184" s="100"/>
      <c r="X184" s="100"/>
      <c r="Y184" s="100"/>
      <c r="Z184" s="100"/>
      <c r="AA184" s="100"/>
      <c r="AB184" s="100"/>
      <c r="AC184" s="100"/>
      <c r="AD184" s="100"/>
      <c r="AE184" s="101"/>
      <c r="AF184" s="100"/>
      <c r="AG184" s="100"/>
      <c r="AH184" s="100"/>
      <c r="AI184" s="100"/>
      <c r="AJ184" s="100"/>
      <c r="AK184" s="100"/>
      <c r="AL184" s="100"/>
      <c r="AM184" s="100"/>
      <c r="AN184" s="100"/>
      <c r="AO184" s="100"/>
      <c r="AP184" s="100"/>
      <c r="AQ184" s="100"/>
      <c r="AR184" s="100"/>
      <c r="AS184" s="101"/>
      <c r="AT184" s="100"/>
      <c r="AU184" s="100"/>
      <c r="AV184" s="100"/>
      <c r="AW184" s="100"/>
      <c r="AX184" s="100"/>
      <c r="AY184" s="100"/>
      <c r="AZ184" s="100"/>
      <c r="BA184" s="100"/>
      <c r="BB184" s="100"/>
      <c r="BC184" s="100"/>
      <c r="BD184" s="100"/>
      <c r="BE184" s="100"/>
      <c r="BF184" s="100"/>
      <c r="BG184" s="100"/>
      <c r="BH184" s="103"/>
    </row>
    <row r="185" spans="1:60" s="3" customFormat="1" ht="15.75" customHeight="1" x14ac:dyDescent="0.2">
      <c r="A185" s="23"/>
      <c r="B185" s="20"/>
      <c r="C185" s="129" t="s">
        <v>190</v>
      </c>
      <c r="D185" s="128">
        <f>SUM(D186:D194)</f>
        <v>435672</v>
      </c>
      <c r="E185" s="128">
        <f>SUM(E186:E194)</f>
        <v>435672</v>
      </c>
      <c r="F185" s="104">
        <f t="shared" ref="F185:G185" si="211">SUM(F186:F194)</f>
        <v>0</v>
      </c>
      <c r="G185" s="101">
        <f t="shared" si="211"/>
        <v>0</v>
      </c>
      <c r="H185" s="101">
        <f t="shared" ref="H185:AD185" si="212">SUM(H186:H194)</f>
        <v>0</v>
      </c>
      <c r="I185" s="101">
        <f t="shared" si="212"/>
        <v>0</v>
      </c>
      <c r="J185" s="101">
        <f t="shared" si="212"/>
        <v>0</v>
      </c>
      <c r="K185" s="101">
        <f t="shared" si="212"/>
        <v>0</v>
      </c>
      <c r="L185" s="101">
        <f t="shared" si="212"/>
        <v>0</v>
      </c>
      <c r="M185" s="101">
        <f>SUM(M186:M194)</f>
        <v>0</v>
      </c>
      <c r="N185" s="101">
        <f t="shared" si="212"/>
        <v>0</v>
      </c>
      <c r="O185" s="101">
        <f>SUM(O186:O194)</f>
        <v>0</v>
      </c>
      <c r="P185" s="101">
        <f t="shared" si="212"/>
        <v>0</v>
      </c>
      <c r="Q185" s="101">
        <f t="shared" si="212"/>
        <v>0</v>
      </c>
      <c r="R185" s="101">
        <f t="shared" si="212"/>
        <v>0</v>
      </c>
      <c r="S185" s="101">
        <f t="shared" ref="S185" si="213">SUM(S186:S194)</f>
        <v>0</v>
      </c>
      <c r="T185" s="101">
        <f t="shared" si="212"/>
        <v>0</v>
      </c>
      <c r="U185" s="101">
        <f t="shared" si="212"/>
        <v>0</v>
      </c>
      <c r="V185" s="101">
        <f t="shared" si="212"/>
        <v>0</v>
      </c>
      <c r="W185" s="101">
        <f t="shared" si="212"/>
        <v>0</v>
      </c>
      <c r="X185" s="101">
        <f t="shared" si="212"/>
        <v>0</v>
      </c>
      <c r="Y185" s="101">
        <f t="shared" si="212"/>
        <v>0</v>
      </c>
      <c r="Z185" s="101">
        <f t="shared" si="212"/>
        <v>0</v>
      </c>
      <c r="AA185" s="101">
        <f t="shared" si="212"/>
        <v>0</v>
      </c>
      <c r="AB185" s="101">
        <f t="shared" si="212"/>
        <v>0</v>
      </c>
      <c r="AC185" s="101">
        <f t="shared" si="212"/>
        <v>0</v>
      </c>
      <c r="AD185" s="101">
        <f t="shared" si="212"/>
        <v>0</v>
      </c>
      <c r="AE185" s="101">
        <f>AF185+AG185+AI185+AJ185+AK185+AL185+AM185+AN185+AP185+AR185</f>
        <v>0</v>
      </c>
      <c r="AF185" s="101">
        <f t="shared" ref="AF185:AU185" si="214">SUM(AF186:AF194)</f>
        <v>0</v>
      </c>
      <c r="AG185" s="101">
        <f t="shared" si="214"/>
        <v>0</v>
      </c>
      <c r="AH185" s="101"/>
      <c r="AI185" s="101">
        <f t="shared" si="214"/>
        <v>0</v>
      </c>
      <c r="AJ185" s="101">
        <f t="shared" si="214"/>
        <v>0</v>
      </c>
      <c r="AK185" s="101">
        <f t="shared" si="214"/>
        <v>0</v>
      </c>
      <c r="AL185" s="101">
        <f t="shared" si="214"/>
        <v>0</v>
      </c>
      <c r="AM185" s="101">
        <f t="shared" si="214"/>
        <v>0</v>
      </c>
      <c r="AN185" s="101">
        <f t="shared" si="214"/>
        <v>0</v>
      </c>
      <c r="AO185" s="101">
        <f>SUM(AO186:AO194)</f>
        <v>0</v>
      </c>
      <c r="AP185" s="101">
        <f t="shared" si="214"/>
        <v>0</v>
      </c>
      <c r="AQ185" s="101">
        <f t="shared" ref="AQ185" si="215">SUM(AQ186:AQ194)</f>
        <v>0</v>
      </c>
      <c r="AR185" s="101">
        <f t="shared" si="214"/>
        <v>0</v>
      </c>
      <c r="AS185" s="101">
        <f>SUM(AS186:AS194)</f>
        <v>435672</v>
      </c>
      <c r="AT185" s="101">
        <f t="shared" si="214"/>
        <v>0</v>
      </c>
      <c r="AU185" s="101">
        <f t="shared" si="214"/>
        <v>435672</v>
      </c>
      <c r="AV185" s="101">
        <f>SUM(AV186:AV194)</f>
        <v>0</v>
      </c>
      <c r="AW185" s="101">
        <f>SUM(AW186:AW194)</f>
        <v>0</v>
      </c>
      <c r="AX185" s="101"/>
      <c r="AY185" s="101">
        <f>SUM(AY186:AY194)</f>
        <v>0</v>
      </c>
      <c r="AZ185" s="101">
        <f>SUM(AZ186:AZ194)</f>
        <v>0</v>
      </c>
      <c r="BA185" s="101"/>
      <c r="BB185" s="101">
        <f>SUM(BB186:BB194)</f>
        <v>0</v>
      </c>
      <c r="BC185" s="100"/>
      <c r="BD185" s="100"/>
      <c r="BE185" s="101"/>
      <c r="BF185" s="101"/>
      <c r="BG185" s="100"/>
      <c r="BH185" s="106"/>
    </row>
    <row r="186" spans="1:60" s="3" customFormat="1" ht="17.100000000000001" customHeight="1" x14ac:dyDescent="0.2">
      <c r="A186" s="23"/>
      <c r="B186" s="73" t="s">
        <v>180</v>
      </c>
      <c r="C186" s="107" t="s">
        <v>191</v>
      </c>
      <c r="D186" s="99">
        <f t="shared" ref="D186:D194" si="216">F186+G186+H186+N186+P186+Q186+R186+AE186+AS186+BB186</f>
        <v>53231</v>
      </c>
      <c r="E186" s="99">
        <f t="shared" ref="E186:E198" si="217">F186+G186+H186+O186+N186+P186+Q186+S186+AE186+AS186+BB186+BE186+BG186+BH186</f>
        <v>53231</v>
      </c>
      <c r="F186" s="104"/>
      <c r="G186" s="101"/>
      <c r="H186" s="101">
        <f>SUM(I186:M186)</f>
        <v>0</v>
      </c>
      <c r="I186" s="100"/>
      <c r="J186" s="100"/>
      <c r="K186" s="100"/>
      <c r="L186" s="100"/>
      <c r="M186" s="100"/>
      <c r="N186" s="101"/>
      <c r="O186" s="101"/>
      <c r="P186" s="101"/>
      <c r="Q186" s="101"/>
      <c r="R186" s="101">
        <f>T186+U186+W186+Y186+AA186+AB186+AC186</f>
        <v>0</v>
      </c>
      <c r="S186" s="101">
        <f t="shared" ref="S186:S197" si="218">T186+V186+X186+Z186+AA186+AB186+AD186</f>
        <v>0</v>
      </c>
      <c r="T186" s="100"/>
      <c r="U186" s="102"/>
      <c r="V186" s="102"/>
      <c r="W186" s="100"/>
      <c r="X186" s="100"/>
      <c r="Y186" s="100"/>
      <c r="Z186" s="100"/>
      <c r="AA186" s="100"/>
      <c r="AB186" s="100"/>
      <c r="AC186" s="100"/>
      <c r="AD186" s="100"/>
      <c r="AE186" s="101">
        <f>SUM(AF186:AR186)</f>
        <v>0</v>
      </c>
      <c r="AF186" s="100"/>
      <c r="AG186" s="100"/>
      <c r="AH186" s="100"/>
      <c r="AI186" s="100"/>
      <c r="AJ186" s="100"/>
      <c r="AK186" s="100"/>
      <c r="AL186" s="100"/>
      <c r="AM186" s="100"/>
      <c r="AN186" s="100"/>
      <c r="AO186" s="100"/>
      <c r="AP186" s="100"/>
      <c r="AQ186" s="100"/>
      <c r="AR186" s="100"/>
      <c r="AS186" s="101">
        <f t="shared" ref="AS186:AS195" si="219">SUM(AT186:AZ186)</f>
        <v>53231</v>
      </c>
      <c r="AT186" s="100"/>
      <c r="AU186" s="215">
        <v>53231</v>
      </c>
      <c r="AV186" s="100"/>
      <c r="AW186" s="100"/>
      <c r="AX186" s="100"/>
      <c r="AY186" s="100"/>
      <c r="AZ186" s="100"/>
      <c r="BA186" s="100"/>
      <c r="BB186" s="100"/>
      <c r="BC186" s="100"/>
      <c r="BD186" s="100"/>
      <c r="BE186" s="100"/>
      <c r="BF186" s="100"/>
      <c r="BG186" s="100"/>
      <c r="BH186" s="103"/>
    </row>
    <row r="187" spans="1:60" s="3" customFormat="1" ht="17.100000000000001" customHeight="1" x14ac:dyDescent="0.2">
      <c r="A187" s="23"/>
      <c r="B187" s="73" t="s">
        <v>180</v>
      </c>
      <c r="C187" s="107" t="s">
        <v>268</v>
      </c>
      <c r="D187" s="99">
        <f t="shared" si="216"/>
        <v>29684</v>
      </c>
      <c r="E187" s="99">
        <f t="shared" si="217"/>
        <v>29684</v>
      </c>
      <c r="F187" s="104"/>
      <c r="G187" s="101"/>
      <c r="H187" s="101"/>
      <c r="I187" s="100"/>
      <c r="J187" s="100"/>
      <c r="K187" s="100"/>
      <c r="L187" s="100"/>
      <c r="M187" s="100"/>
      <c r="N187" s="101"/>
      <c r="O187" s="101"/>
      <c r="P187" s="101"/>
      <c r="Q187" s="101"/>
      <c r="R187" s="101"/>
      <c r="S187" s="101">
        <f t="shared" si="218"/>
        <v>0</v>
      </c>
      <c r="T187" s="100"/>
      <c r="U187" s="102"/>
      <c r="V187" s="102"/>
      <c r="W187" s="100"/>
      <c r="X187" s="100"/>
      <c r="Y187" s="100"/>
      <c r="Z187" s="100"/>
      <c r="AA187" s="100"/>
      <c r="AB187" s="100"/>
      <c r="AC187" s="100"/>
      <c r="AD187" s="100"/>
      <c r="AE187" s="101"/>
      <c r="AF187" s="100"/>
      <c r="AG187" s="100"/>
      <c r="AH187" s="100"/>
      <c r="AI187" s="100"/>
      <c r="AJ187" s="100"/>
      <c r="AK187" s="100"/>
      <c r="AL187" s="100"/>
      <c r="AM187" s="100"/>
      <c r="AN187" s="100"/>
      <c r="AO187" s="100"/>
      <c r="AP187" s="100"/>
      <c r="AQ187" s="100"/>
      <c r="AR187" s="100"/>
      <c r="AS187" s="101">
        <f t="shared" si="219"/>
        <v>29684</v>
      </c>
      <c r="AT187" s="100"/>
      <c r="AU187" s="215">
        <v>29684</v>
      </c>
      <c r="AV187" s="100"/>
      <c r="AW187" s="100"/>
      <c r="AX187" s="100"/>
      <c r="AY187" s="100"/>
      <c r="AZ187" s="100"/>
      <c r="BA187" s="100"/>
      <c r="BB187" s="100"/>
      <c r="BC187" s="100"/>
      <c r="BD187" s="100"/>
      <c r="BE187" s="100"/>
      <c r="BF187" s="100"/>
      <c r="BG187" s="100"/>
      <c r="BH187" s="103"/>
    </row>
    <row r="188" spans="1:60" s="3" customFormat="1" ht="17.100000000000001" customHeight="1" x14ac:dyDescent="0.2">
      <c r="A188" s="23"/>
      <c r="B188" s="73" t="s">
        <v>180</v>
      </c>
      <c r="C188" s="107" t="s">
        <v>192</v>
      </c>
      <c r="D188" s="99">
        <f t="shared" si="216"/>
        <v>56423</v>
      </c>
      <c r="E188" s="99">
        <f t="shared" si="217"/>
        <v>56423</v>
      </c>
      <c r="F188" s="104"/>
      <c r="G188" s="101"/>
      <c r="H188" s="101"/>
      <c r="I188" s="100"/>
      <c r="J188" s="100"/>
      <c r="K188" s="100"/>
      <c r="L188" s="100"/>
      <c r="M188" s="100"/>
      <c r="N188" s="101"/>
      <c r="O188" s="101"/>
      <c r="P188" s="101"/>
      <c r="Q188" s="101"/>
      <c r="R188" s="101"/>
      <c r="S188" s="101">
        <f t="shared" si="218"/>
        <v>0</v>
      </c>
      <c r="T188" s="100"/>
      <c r="U188" s="102"/>
      <c r="V188" s="102"/>
      <c r="W188" s="100"/>
      <c r="X188" s="100"/>
      <c r="Y188" s="100"/>
      <c r="Z188" s="100"/>
      <c r="AA188" s="100"/>
      <c r="AB188" s="100"/>
      <c r="AC188" s="100"/>
      <c r="AD188" s="100"/>
      <c r="AE188" s="101"/>
      <c r="AF188" s="100"/>
      <c r="AG188" s="100"/>
      <c r="AH188" s="100"/>
      <c r="AI188" s="100"/>
      <c r="AJ188" s="100"/>
      <c r="AK188" s="100"/>
      <c r="AL188" s="100"/>
      <c r="AM188" s="100"/>
      <c r="AN188" s="100"/>
      <c r="AO188" s="100"/>
      <c r="AP188" s="100"/>
      <c r="AQ188" s="100"/>
      <c r="AR188" s="100"/>
      <c r="AS188" s="101">
        <f t="shared" si="219"/>
        <v>56423</v>
      </c>
      <c r="AT188" s="100"/>
      <c r="AU188" s="215">
        <v>56423</v>
      </c>
      <c r="AV188" s="100"/>
      <c r="AW188" s="100"/>
      <c r="AX188" s="100"/>
      <c r="AY188" s="100"/>
      <c r="AZ188" s="100"/>
      <c r="BA188" s="100"/>
      <c r="BB188" s="100"/>
      <c r="BC188" s="100"/>
      <c r="BD188" s="100"/>
      <c r="BE188" s="100"/>
      <c r="BF188" s="100"/>
      <c r="BG188" s="100"/>
      <c r="BH188" s="103"/>
    </row>
    <row r="189" spans="1:60" s="3" customFormat="1" ht="17.100000000000001" customHeight="1" x14ac:dyDescent="0.2">
      <c r="A189" s="23"/>
      <c r="B189" s="73" t="s">
        <v>180</v>
      </c>
      <c r="C189" s="107" t="s">
        <v>193</v>
      </c>
      <c r="D189" s="99">
        <f t="shared" si="216"/>
        <v>74483</v>
      </c>
      <c r="E189" s="99">
        <f t="shared" si="217"/>
        <v>74483</v>
      </c>
      <c r="F189" s="104"/>
      <c r="G189" s="101"/>
      <c r="H189" s="101"/>
      <c r="I189" s="100"/>
      <c r="J189" s="100"/>
      <c r="K189" s="100"/>
      <c r="L189" s="100"/>
      <c r="M189" s="100"/>
      <c r="N189" s="101"/>
      <c r="O189" s="101"/>
      <c r="P189" s="101"/>
      <c r="Q189" s="101"/>
      <c r="R189" s="101"/>
      <c r="S189" s="101">
        <f t="shared" si="218"/>
        <v>0</v>
      </c>
      <c r="T189" s="100"/>
      <c r="U189" s="102"/>
      <c r="V189" s="102"/>
      <c r="W189" s="100"/>
      <c r="X189" s="100"/>
      <c r="Y189" s="100"/>
      <c r="Z189" s="100"/>
      <c r="AA189" s="100"/>
      <c r="AB189" s="100"/>
      <c r="AC189" s="100"/>
      <c r="AD189" s="100"/>
      <c r="AE189" s="101"/>
      <c r="AF189" s="100"/>
      <c r="AG189" s="100"/>
      <c r="AH189" s="100"/>
      <c r="AI189" s="100"/>
      <c r="AJ189" s="100"/>
      <c r="AK189" s="100"/>
      <c r="AL189" s="100"/>
      <c r="AM189" s="100"/>
      <c r="AN189" s="100"/>
      <c r="AO189" s="100"/>
      <c r="AP189" s="100"/>
      <c r="AQ189" s="100"/>
      <c r="AR189" s="100"/>
      <c r="AS189" s="101">
        <f t="shared" si="219"/>
        <v>74483</v>
      </c>
      <c r="AT189" s="100"/>
      <c r="AU189" s="215">
        <v>74483</v>
      </c>
      <c r="AV189" s="100"/>
      <c r="AW189" s="100"/>
      <c r="AX189" s="100"/>
      <c r="AY189" s="100"/>
      <c r="AZ189" s="100"/>
      <c r="BA189" s="100"/>
      <c r="BB189" s="100"/>
      <c r="BC189" s="100"/>
      <c r="BD189" s="100"/>
      <c r="BE189" s="100"/>
      <c r="BF189" s="100"/>
      <c r="BG189" s="100"/>
      <c r="BH189" s="103"/>
    </row>
    <row r="190" spans="1:60" s="3" customFormat="1" ht="17.100000000000001" customHeight="1" x14ac:dyDescent="0.2">
      <c r="A190" s="23"/>
      <c r="B190" s="73" t="s">
        <v>180</v>
      </c>
      <c r="C190" s="107" t="s">
        <v>194</v>
      </c>
      <c r="D190" s="99">
        <f t="shared" si="216"/>
        <v>26141</v>
      </c>
      <c r="E190" s="99">
        <f t="shared" si="217"/>
        <v>26141</v>
      </c>
      <c r="F190" s="104"/>
      <c r="G190" s="101"/>
      <c r="H190" s="101"/>
      <c r="I190" s="100"/>
      <c r="J190" s="100"/>
      <c r="K190" s="100"/>
      <c r="L190" s="100"/>
      <c r="M190" s="100"/>
      <c r="N190" s="101"/>
      <c r="O190" s="101"/>
      <c r="P190" s="101"/>
      <c r="Q190" s="101"/>
      <c r="R190" s="101"/>
      <c r="S190" s="101">
        <f t="shared" si="218"/>
        <v>0</v>
      </c>
      <c r="T190" s="100"/>
      <c r="U190" s="102"/>
      <c r="V190" s="102"/>
      <c r="W190" s="100"/>
      <c r="X190" s="100"/>
      <c r="Y190" s="100"/>
      <c r="Z190" s="100"/>
      <c r="AA190" s="100"/>
      <c r="AB190" s="100"/>
      <c r="AC190" s="100"/>
      <c r="AD190" s="100"/>
      <c r="AE190" s="101"/>
      <c r="AF190" s="100"/>
      <c r="AG190" s="100"/>
      <c r="AH190" s="100"/>
      <c r="AI190" s="100"/>
      <c r="AJ190" s="100"/>
      <c r="AK190" s="100"/>
      <c r="AL190" s="100"/>
      <c r="AM190" s="100"/>
      <c r="AN190" s="100"/>
      <c r="AO190" s="100"/>
      <c r="AP190" s="100"/>
      <c r="AQ190" s="100"/>
      <c r="AR190" s="100"/>
      <c r="AS190" s="101">
        <f t="shared" si="219"/>
        <v>26141</v>
      </c>
      <c r="AT190" s="100"/>
      <c r="AU190" s="215">
        <v>26141</v>
      </c>
      <c r="AV190" s="100"/>
      <c r="AW190" s="100"/>
      <c r="AX190" s="100"/>
      <c r="AY190" s="100"/>
      <c r="AZ190" s="100"/>
      <c r="BA190" s="100"/>
      <c r="BB190" s="100"/>
      <c r="BC190" s="100"/>
      <c r="BD190" s="100"/>
      <c r="BE190" s="100"/>
      <c r="BF190" s="100"/>
      <c r="BG190" s="100"/>
      <c r="BH190" s="103"/>
    </row>
    <row r="191" spans="1:60" s="3" customFormat="1" ht="17.100000000000001" customHeight="1" x14ac:dyDescent="0.2">
      <c r="A191" s="23"/>
      <c r="B191" s="73" t="s">
        <v>180</v>
      </c>
      <c r="C191" s="107" t="s">
        <v>195</v>
      </c>
      <c r="D191" s="99">
        <f t="shared" si="216"/>
        <v>50137</v>
      </c>
      <c r="E191" s="99">
        <f t="shared" si="217"/>
        <v>50137</v>
      </c>
      <c r="F191" s="104"/>
      <c r="G191" s="101"/>
      <c r="H191" s="101"/>
      <c r="I191" s="100"/>
      <c r="J191" s="100"/>
      <c r="K191" s="100"/>
      <c r="L191" s="100"/>
      <c r="M191" s="100"/>
      <c r="N191" s="101"/>
      <c r="O191" s="101"/>
      <c r="P191" s="101"/>
      <c r="Q191" s="101"/>
      <c r="R191" s="101"/>
      <c r="S191" s="101">
        <f t="shared" si="218"/>
        <v>0</v>
      </c>
      <c r="T191" s="100"/>
      <c r="U191" s="102"/>
      <c r="V191" s="102"/>
      <c r="W191" s="100"/>
      <c r="X191" s="100"/>
      <c r="Y191" s="100"/>
      <c r="Z191" s="100"/>
      <c r="AA191" s="100"/>
      <c r="AB191" s="100"/>
      <c r="AC191" s="100"/>
      <c r="AD191" s="100"/>
      <c r="AE191" s="101"/>
      <c r="AF191" s="100"/>
      <c r="AG191" s="100"/>
      <c r="AH191" s="100"/>
      <c r="AI191" s="100"/>
      <c r="AJ191" s="100"/>
      <c r="AK191" s="100"/>
      <c r="AL191" s="100"/>
      <c r="AM191" s="100"/>
      <c r="AN191" s="100"/>
      <c r="AO191" s="100"/>
      <c r="AP191" s="100"/>
      <c r="AQ191" s="100"/>
      <c r="AR191" s="100"/>
      <c r="AS191" s="101">
        <f t="shared" si="219"/>
        <v>50137</v>
      </c>
      <c r="AT191" s="100"/>
      <c r="AU191" s="215">
        <v>50137</v>
      </c>
      <c r="AV191" s="100"/>
      <c r="AW191" s="100"/>
      <c r="AX191" s="100"/>
      <c r="AY191" s="100"/>
      <c r="AZ191" s="100"/>
      <c r="BA191" s="100"/>
      <c r="BB191" s="100"/>
      <c r="BC191" s="100"/>
      <c r="BD191" s="100"/>
      <c r="BE191" s="100"/>
      <c r="BF191" s="100"/>
      <c r="BG191" s="100"/>
      <c r="BH191" s="103"/>
    </row>
    <row r="192" spans="1:60" s="3" customFormat="1" ht="17.100000000000001" customHeight="1" x14ac:dyDescent="0.2">
      <c r="A192" s="23"/>
      <c r="B192" s="73" t="s">
        <v>180</v>
      </c>
      <c r="C192" s="107" t="s">
        <v>196</v>
      </c>
      <c r="D192" s="99">
        <f t="shared" si="216"/>
        <v>50337</v>
      </c>
      <c r="E192" s="99">
        <f t="shared" si="217"/>
        <v>50337</v>
      </c>
      <c r="F192" s="104"/>
      <c r="G192" s="101"/>
      <c r="H192" s="101"/>
      <c r="I192" s="100"/>
      <c r="J192" s="100"/>
      <c r="K192" s="100"/>
      <c r="L192" s="100"/>
      <c r="M192" s="100"/>
      <c r="N192" s="101"/>
      <c r="O192" s="101"/>
      <c r="P192" s="101"/>
      <c r="Q192" s="101"/>
      <c r="R192" s="101"/>
      <c r="S192" s="101">
        <f t="shared" si="218"/>
        <v>0</v>
      </c>
      <c r="T192" s="100"/>
      <c r="U192" s="102"/>
      <c r="V192" s="102"/>
      <c r="W192" s="100"/>
      <c r="X192" s="100"/>
      <c r="Y192" s="100"/>
      <c r="Z192" s="100"/>
      <c r="AA192" s="100"/>
      <c r="AB192" s="100"/>
      <c r="AC192" s="100"/>
      <c r="AD192" s="100"/>
      <c r="AE192" s="101"/>
      <c r="AF192" s="100"/>
      <c r="AG192" s="100"/>
      <c r="AH192" s="100"/>
      <c r="AI192" s="100"/>
      <c r="AJ192" s="100"/>
      <c r="AK192" s="100"/>
      <c r="AL192" s="100"/>
      <c r="AM192" s="100"/>
      <c r="AN192" s="100"/>
      <c r="AO192" s="100"/>
      <c r="AP192" s="100"/>
      <c r="AQ192" s="100"/>
      <c r="AR192" s="100"/>
      <c r="AS192" s="101">
        <f t="shared" si="219"/>
        <v>50337</v>
      </c>
      <c r="AT192" s="100"/>
      <c r="AU192" s="215">
        <v>50337</v>
      </c>
      <c r="AV192" s="100"/>
      <c r="AW192" s="100"/>
      <c r="AX192" s="100"/>
      <c r="AY192" s="100"/>
      <c r="AZ192" s="100"/>
      <c r="BA192" s="100"/>
      <c r="BB192" s="100"/>
      <c r="BC192" s="100"/>
      <c r="BD192" s="100"/>
      <c r="BE192" s="100"/>
      <c r="BF192" s="100"/>
      <c r="BG192" s="100"/>
      <c r="BH192" s="103"/>
    </row>
    <row r="193" spans="1:60" s="3" customFormat="1" ht="17.100000000000001" customHeight="1" x14ac:dyDescent="0.2">
      <c r="A193" s="23"/>
      <c r="B193" s="73" t="s">
        <v>180</v>
      </c>
      <c r="C193" s="107" t="s">
        <v>197</v>
      </c>
      <c r="D193" s="99">
        <f t="shared" si="216"/>
        <v>34822</v>
      </c>
      <c r="E193" s="99">
        <f t="shared" si="217"/>
        <v>34822</v>
      </c>
      <c r="F193" s="104"/>
      <c r="G193" s="101"/>
      <c r="H193" s="101"/>
      <c r="I193" s="100"/>
      <c r="J193" s="100"/>
      <c r="K193" s="100"/>
      <c r="L193" s="100"/>
      <c r="M193" s="100"/>
      <c r="N193" s="101"/>
      <c r="O193" s="101"/>
      <c r="P193" s="101"/>
      <c r="Q193" s="101"/>
      <c r="R193" s="101"/>
      <c r="S193" s="101">
        <f t="shared" si="218"/>
        <v>0</v>
      </c>
      <c r="T193" s="100"/>
      <c r="U193" s="102"/>
      <c r="V193" s="102"/>
      <c r="W193" s="100"/>
      <c r="X193" s="100"/>
      <c r="Y193" s="100"/>
      <c r="Z193" s="100"/>
      <c r="AA193" s="100"/>
      <c r="AB193" s="100"/>
      <c r="AC193" s="100"/>
      <c r="AD193" s="100"/>
      <c r="AE193" s="101"/>
      <c r="AF193" s="100"/>
      <c r="AG193" s="100"/>
      <c r="AH193" s="100"/>
      <c r="AI193" s="100"/>
      <c r="AJ193" s="100"/>
      <c r="AK193" s="100"/>
      <c r="AL193" s="100"/>
      <c r="AM193" s="100"/>
      <c r="AN193" s="100"/>
      <c r="AO193" s="100"/>
      <c r="AP193" s="100"/>
      <c r="AQ193" s="100"/>
      <c r="AR193" s="100"/>
      <c r="AS193" s="101">
        <f t="shared" si="219"/>
        <v>34822</v>
      </c>
      <c r="AT193" s="100"/>
      <c r="AU193" s="215">
        <v>34822</v>
      </c>
      <c r="AV193" s="100"/>
      <c r="AW193" s="100"/>
      <c r="AX193" s="100"/>
      <c r="AY193" s="100"/>
      <c r="AZ193" s="100"/>
      <c r="BA193" s="100"/>
      <c r="BB193" s="100"/>
      <c r="BC193" s="100"/>
      <c r="BD193" s="100"/>
      <c r="BE193" s="100"/>
      <c r="BF193" s="100"/>
      <c r="BG193" s="100"/>
      <c r="BH193" s="103"/>
    </row>
    <row r="194" spans="1:60" s="3" customFormat="1" ht="17.100000000000001" customHeight="1" x14ac:dyDescent="0.2">
      <c r="A194" s="23"/>
      <c r="B194" s="73" t="s">
        <v>180</v>
      </c>
      <c r="C194" s="107" t="s">
        <v>198</v>
      </c>
      <c r="D194" s="99">
        <f t="shared" si="216"/>
        <v>60414</v>
      </c>
      <c r="E194" s="99">
        <f t="shared" si="217"/>
        <v>60414</v>
      </c>
      <c r="F194" s="104"/>
      <c r="G194" s="101"/>
      <c r="H194" s="101"/>
      <c r="I194" s="100"/>
      <c r="J194" s="100"/>
      <c r="K194" s="100"/>
      <c r="L194" s="100"/>
      <c r="M194" s="100"/>
      <c r="N194" s="101"/>
      <c r="O194" s="101"/>
      <c r="P194" s="101"/>
      <c r="Q194" s="101"/>
      <c r="R194" s="101"/>
      <c r="S194" s="101">
        <f t="shared" si="218"/>
        <v>0</v>
      </c>
      <c r="T194" s="100"/>
      <c r="U194" s="102"/>
      <c r="V194" s="102"/>
      <c r="W194" s="100"/>
      <c r="X194" s="100"/>
      <c r="Y194" s="100"/>
      <c r="Z194" s="100"/>
      <c r="AA194" s="100"/>
      <c r="AB194" s="100"/>
      <c r="AC194" s="100"/>
      <c r="AD194" s="100"/>
      <c r="AE194" s="101"/>
      <c r="AF194" s="100"/>
      <c r="AG194" s="100"/>
      <c r="AH194" s="100"/>
      <c r="AI194" s="100"/>
      <c r="AJ194" s="100"/>
      <c r="AK194" s="100"/>
      <c r="AL194" s="100"/>
      <c r="AM194" s="100"/>
      <c r="AN194" s="100"/>
      <c r="AO194" s="100"/>
      <c r="AP194" s="100"/>
      <c r="AQ194" s="100"/>
      <c r="AR194" s="100"/>
      <c r="AS194" s="101">
        <f t="shared" si="219"/>
        <v>60414</v>
      </c>
      <c r="AT194" s="100"/>
      <c r="AU194" s="215">
        <v>60414</v>
      </c>
      <c r="AV194" s="100"/>
      <c r="AW194" s="100"/>
      <c r="AX194" s="100"/>
      <c r="AY194" s="100"/>
      <c r="AZ194" s="100"/>
      <c r="BA194" s="100"/>
      <c r="BB194" s="100"/>
      <c r="BC194" s="100"/>
      <c r="BD194" s="100"/>
      <c r="BE194" s="100"/>
      <c r="BF194" s="100"/>
      <c r="BG194" s="100"/>
      <c r="BH194" s="103"/>
    </row>
    <row r="195" spans="1:60" s="3" customFormat="1" ht="17.100000000000001" customHeight="1" x14ac:dyDescent="0.2">
      <c r="A195" s="23"/>
      <c r="B195" s="73" t="s">
        <v>180</v>
      </c>
      <c r="C195" s="244" t="s">
        <v>267</v>
      </c>
      <c r="D195" s="128">
        <f>F195+G195+H195+N195+P195+Q195+R195+AE195+AS195+BB195+BH195+BE195</f>
        <v>434</v>
      </c>
      <c r="E195" s="128">
        <f t="shared" si="217"/>
        <v>434</v>
      </c>
      <c r="F195" s="104"/>
      <c r="G195" s="101"/>
      <c r="H195" s="101">
        <f t="shared" ref="H195:H207" si="220">SUM(I195:M195)</f>
        <v>434</v>
      </c>
      <c r="I195" s="100"/>
      <c r="J195" s="100"/>
      <c r="K195" s="100"/>
      <c r="L195" s="100"/>
      <c r="M195" s="100">
        <v>434</v>
      </c>
      <c r="N195" s="101"/>
      <c r="O195" s="101"/>
      <c r="P195" s="101"/>
      <c r="Q195" s="101"/>
      <c r="R195" s="101"/>
      <c r="S195" s="101">
        <f t="shared" si="218"/>
        <v>0</v>
      </c>
      <c r="T195" s="100"/>
      <c r="U195" s="102"/>
      <c r="V195" s="102"/>
      <c r="W195" s="100"/>
      <c r="X195" s="100"/>
      <c r="Y195" s="100"/>
      <c r="Z195" s="100"/>
      <c r="AA195" s="100"/>
      <c r="AB195" s="100"/>
      <c r="AC195" s="100"/>
      <c r="AD195" s="100"/>
      <c r="AE195" s="101"/>
      <c r="AF195" s="100"/>
      <c r="AG195" s="100"/>
      <c r="AH195" s="100"/>
      <c r="AI195" s="100"/>
      <c r="AJ195" s="100"/>
      <c r="AK195" s="100"/>
      <c r="AL195" s="100"/>
      <c r="AM195" s="100"/>
      <c r="AN195" s="100"/>
      <c r="AO195" s="100"/>
      <c r="AP195" s="100"/>
      <c r="AQ195" s="100"/>
      <c r="AR195" s="100"/>
      <c r="AS195" s="101">
        <f t="shared" si="219"/>
        <v>0</v>
      </c>
      <c r="AT195" s="100"/>
      <c r="AU195" s="100"/>
      <c r="AV195" s="100"/>
      <c r="AW195" s="100"/>
      <c r="AX195" s="100"/>
      <c r="AY195" s="100"/>
      <c r="AZ195" s="100"/>
      <c r="BA195" s="100"/>
      <c r="BB195" s="100"/>
      <c r="BC195" s="100"/>
      <c r="BD195" s="100"/>
      <c r="BE195" s="100"/>
      <c r="BF195" s="100"/>
      <c r="BG195" s="100"/>
      <c r="BH195" s="103"/>
    </row>
    <row r="196" spans="1:60" s="3" customFormat="1" ht="17.100000000000001" customHeight="1" x14ac:dyDescent="0.2">
      <c r="A196" s="45"/>
      <c r="B196" s="73" t="s">
        <v>180</v>
      </c>
      <c r="C196" s="244" t="s">
        <v>251</v>
      </c>
      <c r="D196" s="108">
        <f>F196+G196+H196+N196+P196+Q196+R196+AE196+AS196+BB196+BH196+BE196</f>
        <v>218</v>
      </c>
      <c r="E196" s="128">
        <f t="shared" si="217"/>
        <v>218</v>
      </c>
      <c r="F196" s="104"/>
      <c r="G196" s="101"/>
      <c r="H196" s="101">
        <f t="shared" si="220"/>
        <v>218</v>
      </c>
      <c r="I196" s="100"/>
      <c r="J196" s="100"/>
      <c r="K196" s="100"/>
      <c r="L196" s="100"/>
      <c r="M196" s="100">
        <v>218</v>
      </c>
      <c r="N196" s="101"/>
      <c r="O196" s="101"/>
      <c r="P196" s="101"/>
      <c r="Q196" s="101"/>
      <c r="R196" s="101"/>
      <c r="S196" s="101">
        <f t="shared" si="218"/>
        <v>0</v>
      </c>
      <c r="T196" s="100"/>
      <c r="U196" s="102"/>
      <c r="V196" s="102"/>
      <c r="W196" s="100"/>
      <c r="X196" s="100"/>
      <c r="Y196" s="100"/>
      <c r="Z196" s="100"/>
      <c r="AA196" s="100"/>
      <c r="AB196" s="100"/>
      <c r="AC196" s="100"/>
      <c r="AD196" s="100"/>
      <c r="AE196" s="101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1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3"/>
    </row>
    <row r="197" spans="1:60" s="3" customFormat="1" ht="17.100000000000001" customHeight="1" thickBot="1" x14ac:dyDescent="0.25">
      <c r="A197" s="45"/>
      <c r="B197" s="73" t="s">
        <v>180</v>
      </c>
      <c r="C197" s="244" t="s">
        <v>252</v>
      </c>
      <c r="D197" s="108">
        <f>F197+G197+H197+N197+P197+Q197+R197+AE197+AS197+BB197+BH197+BE197</f>
        <v>218</v>
      </c>
      <c r="E197" s="128">
        <f t="shared" si="217"/>
        <v>218</v>
      </c>
      <c r="F197" s="104"/>
      <c r="G197" s="101"/>
      <c r="H197" s="101">
        <f t="shared" si="220"/>
        <v>218</v>
      </c>
      <c r="I197" s="100"/>
      <c r="J197" s="100"/>
      <c r="K197" s="100"/>
      <c r="L197" s="100"/>
      <c r="M197" s="100">
        <v>218</v>
      </c>
      <c r="N197" s="101"/>
      <c r="O197" s="101"/>
      <c r="P197" s="101"/>
      <c r="Q197" s="101"/>
      <c r="R197" s="101"/>
      <c r="S197" s="101">
        <f t="shared" si="218"/>
        <v>0</v>
      </c>
      <c r="T197" s="100"/>
      <c r="U197" s="102"/>
      <c r="V197" s="102"/>
      <c r="W197" s="100"/>
      <c r="X197" s="100"/>
      <c r="Y197" s="100"/>
      <c r="Z197" s="100"/>
      <c r="AA197" s="100"/>
      <c r="AB197" s="100"/>
      <c r="AC197" s="100"/>
      <c r="AD197" s="100"/>
      <c r="AE197" s="101"/>
      <c r="AF197" s="100"/>
      <c r="AG197" s="100"/>
      <c r="AH197" s="100"/>
      <c r="AI197" s="100"/>
      <c r="AJ197" s="100"/>
      <c r="AK197" s="100"/>
      <c r="AL197" s="100"/>
      <c r="AM197" s="100"/>
      <c r="AN197" s="100"/>
      <c r="AO197" s="100"/>
      <c r="AP197" s="100"/>
      <c r="AQ197" s="100"/>
      <c r="AR197" s="100"/>
      <c r="AS197" s="101"/>
      <c r="AT197" s="100"/>
      <c r="AU197" s="100"/>
      <c r="AV197" s="100"/>
      <c r="AW197" s="100"/>
      <c r="AX197" s="100"/>
      <c r="AY197" s="100"/>
      <c r="AZ197" s="100"/>
      <c r="BA197" s="100"/>
      <c r="BB197" s="100"/>
      <c r="BC197" s="100"/>
      <c r="BD197" s="100"/>
      <c r="BE197" s="100"/>
      <c r="BF197" s="100"/>
      <c r="BG197" s="100"/>
      <c r="BH197" s="103"/>
    </row>
    <row r="198" spans="1:60" s="3" customFormat="1" ht="17.100000000000001" hidden="1" customHeight="1" thickBot="1" x14ac:dyDescent="0.25">
      <c r="A198" s="23"/>
      <c r="B198" s="58" t="s">
        <v>180</v>
      </c>
      <c r="C198" s="188" t="s">
        <v>276</v>
      </c>
      <c r="D198" s="133">
        <f>F198+G198+H198+N198+P198+Q198+R198+AE198+AS198+BB198+BH198+BE198</f>
        <v>0</v>
      </c>
      <c r="E198" s="128">
        <f t="shared" si="217"/>
        <v>0</v>
      </c>
      <c r="F198" s="219"/>
      <c r="G198" s="95"/>
      <c r="H198" s="95">
        <f t="shared" si="220"/>
        <v>0</v>
      </c>
      <c r="I198" s="97"/>
      <c r="J198" s="97"/>
      <c r="K198" s="97"/>
      <c r="L198" s="97"/>
      <c r="M198" s="97"/>
      <c r="N198" s="95"/>
      <c r="O198" s="95"/>
      <c r="P198" s="95"/>
      <c r="Q198" s="95"/>
      <c r="R198" s="95"/>
      <c r="S198" s="101">
        <f t="shared" ref="S198" si="221">V198+X198+Z198+AA198+AB198+AD198</f>
        <v>0</v>
      </c>
      <c r="T198" s="97"/>
      <c r="U198" s="146"/>
      <c r="V198" s="146"/>
      <c r="W198" s="97"/>
      <c r="X198" s="97"/>
      <c r="Y198" s="97"/>
      <c r="Z198" s="97"/>
      <c r="AA198" s="97"/>
      <c r="AB198" s="97"/>
      <c r="AC198" s="97"/>
      <c r="AD198" s="97"/>
      <c r="AE198" s="95"/>
      <c r="AF198" s="97"/>
      <c r="AG198" s="97"/>
      <c r="AH198" s="97"/>
      <c r="AI198" s="97"/>
      <c r="AJ198" s="97"/>
      <c r="AK198" s="97"/>
      <c r="AL198" s="97"/>
      <c r="AM198" s="97"/>
      <c r="AN198" s="97"/>
      <c r="AO198" s="97"/>
      <c r="AP198" s="97"/>
      <c r="AQ198" s="97"/>
      <c r="AR198" s="97"/>
      <c r="AS198" s="95"/>
      <c r="AT198" s="97"/>
      <c r="AU198" s="97"/>
      <c r="AV198" s="97"/>
      <c r="AW198" s="97"/>
      <c r="AX198" s="97"/>
      <c r="AY198" s="97"/>
      <c r="AZ198" s="97"/>
      <c r="BA198" s="97"/>
      <c r="BB198" s="97"/>
      <c r="BC198" s="97"/>
      <c r="BD198" s="97"/>
      <c r="BE198" s="97"/>
      <c r="BF198" s="97"/>
      <c r="BG198" s="97"/>
      <c r="BH198" s="147"/>
    </row>
    <row r="199" spans="1:60" s="3" customFormat="1" ht="17.100000000000001" hidden="1" customHeight="1" thickBot="1" x14ac:dyDescent="0.25">
      <c r="A199" s="45"/>
      <c r="B199" s="20" t="s">
        <v>180</v>
      </c>
      <c r="C199" s="177" t="s">
        <v>264</v>
      </c>
      <c r="D199" s="109">
        <f>F199+G199+H199+N199+P199+Q199+R199+AE199+AS199+BB199+BH199+BE199</f>
        <v>0</v>
      </c>
      <c r="E199" s="109">
        <f>G199+H199+I199+O199+Q199+R199+S199+AF199+AT199+BC199+BI199+BF199</f>
        <v>0</v>
      </c>
      <c r="F199" s="231"/>
      <c r="G199" s="148"/>
      <c r="H199" s="148">
        <f t="shared" si="220"/>
        <v>0</v>
      </c>
      <c r="I199" s="149"/>
      <c r="J199" s="149"/>
      <c r="K199" s="149"/>
      <c r="L199" s="149"/>
      <c r="M199" s="149"/>
      <c r="N199" s="148"/>
      <c r="O199" s="148"/>
      <c r="P199" s="148"/>
      <c r="Q199" s="148"/>
      <c r="R199" s="148"/>
      <c r="S199" s="148"/>
      <c r="T199" s="149"/>
      <c r="U199" s="150"/>
      <c r="V199" s="150"/>
      <c r="W199" s="149"/>
      <c r="X199" s="149"/>
      <c r="Y199" s="149"/>
      <c r="Z199" s="149"/>
      <c r="AA199" s="149"/>
      <c r="AB199" s="149"/>
      <c r="AC199" s="149"/>
      <c r="AD199" s="149"/>
      <c r="AE199" s="148"/>
      <c r="AF199" s="149"/>
      <c r="AG199" s="149"/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8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51"/>
    </row>
    <row r="200" spans="1:60" s="91" customFormat="1" ht="15.75" customHeight="1" thickBot="1" x14ac:dyDescent="0.25">
      <c r="A200" s="28" t="s">
        <v>277</v>
      </c>
      <c r="B200" s="92"/>
      <c r="C200" s="152" t="s">
        <v>278</v>
      </c>
      <c r="D200" s="115">
        <f t="shared" ref="D200:D206" si="222">F200+G200+H200+N200+P200+Q200+R200+AE200+AS200+BB200</f>
        <v>21871498</v>
      </c>
      <c r="E200" s="175">
        <f>F200+G200+H200+O200+N200+P200+Q200+S200+AE200+AS200+BB200+BE200+BG200+BH200</f>
        <v>21871498</v>
      </c>
      <c r="F200" s="228"/>
      <c r="G200" s="135"/>
      <c r="H200" s="135">
        <f>SUM(I200:M200)</f>
        <v>0</v>
      </c>
      <c r="I200" s="135"/>
      <c r="J200" s="135"/>
      <c r="K200" s="135"/>
      <c r="L200" s="135"/>
      <c r="M200" s="135"/>
      <c r="N200" s="135"/>
      <c r="O200" s="135"/>
      <c r="P200" s="135"/>
      <c r="Q200" s="135"/>
      <c r="R200" s="135">
        <f>T200+U200+W200+Y200+AA200+AB200+AC200</f>
        <v>0</v>
      </c>
      <c r="S200" s="135">
        <f>SUM(S201:S202)</f>
        <v>0</v>
      </c>
      <c r="T200" s="135"/>
      <c r="U200" s="153"/>
      <c r="V200" s="153"/>
      <c r="W200" s="135"/>
      <c r="X200" s="135"/>
      <c r="Y200" s="135"/>
      <c r="Z200" s="135"/>
      <c r="AA200" s="135"/>
      <c r="AB200" s="135"/>
      <c r="AC200" s="135"/>
      <c r="AD200" s="135"/>
      <c r="AE200" s="135">
        <f>SUM(AF200:AR200)</f>
        <v>0</v>
      </c>
      <c r="AF200" s="135"/>
      <c r="AG200" s="135"/>
      <c r="AH200" s="135"/>
      <c r="AI200" s="135"/>
      <c r="AJ200" s="135"/>
      <c r="AK200" s="135"/>
      <c r="AL200" s="135"/>
      <c r="AM200" s="135"/>
      <c r="AN200" s="135"/>
      <c r="AO200" s="135"/>
      <c r="AP200" s="135"/>
      <c r="AQ200" s="135"/>
      <c r="AR200" s="135"/>
      <c r="AS200" s="135">
        <f t="shared" ref="AS200:AS207" si="223">SUM(AT200:AZ200)</f>
        <v>21871498</v>
      </c>
      <c r="AT200" s="135"/>
      <c r="AU200" s="135"/>
      <c r="AV200" s="135">
        <f>SUM(AV201:AV206)</f>
        <v>21871498</v>
      </c>
      <c r="AW200" s="135">
        <f>AW201+AW202+AW206+AW205</f>
        <v>0</v>
      </c>
      <c r="AX200" s="135"/>
      <c r="AY200" s="135"/>
      <c r="AZ200" s="135"/>
      <c r="BA200" s="135"/>
      <c r="BB200" s="135"/>
      <c r="BC200" s="135"/>
      <c r="BD200" s="135"/>
      <c r="BE200" s="135"/>
      <c r="BF200" s="135"/>
      <c r="BG200" s="135"/>
      <c r="BH200" s="136"/>
    </row>
    <row r="201" spans="1:60" s="3" customFormat="1" ht="17.100000000000001" customHeight="1" x14ac:dyDescent="0.2">
      <c r="A201" s="23"/>
      <c r="B201" s="72" t="s">
        <v>173</v>
      </c>
      <c r="C201" s="245" t="s">
        <v>233</v>
      </c>
      <c r="D201" s="143">
        <f t="shared" si="222"/>
        <v>11470115</v>
      </c>
      <c r="E201" s="99">
        <f>F201+G201+H201+O201+N201+P201+Q201+S201+AE201+AS201+BB201+BE201+BG201+BH201</f>
        <v>11470115</v>
      </c>
      <c r="F201" s="219"/>
      <c r="G201" s="95"/>
      <c r="H201" s="95">
        <f>SUM(I201:M201)</f>
        <v>0</v>
      </c>
      <c r="I201" s="97"/>
      <c r="J201" s="97"/>
      <c r="K201" s="97"/>
      <c r="L201" s="97"/>
      <c r="M201" s="97"/>
      <c r="N201" s="95"/>
      <c r="O201" s="95"/>
      <c r="P201" s="95"/>
      <c r="Q201" s="95"/>
      <c r="R201" s="95">
        <f>T201+U201+W201+Y201+AA201+AB201+AC201</f>
        <v>0</v>
      </c>
      <c r="S201" s="101">
        <f t="shared" ref="S201:S202" si="224">T201+V201+X201+Z201+AA201+AB201+AD201</f>
        <v>0</v>
      </c>
      <c r="T201" s="97"/>
      <c r="U201" s="146"/>
      <c r="V201" s="146"/>
      <c r="W201" s="97"/>
      <c r="X201" s="97"/>
      <c r="Y201" s="97"/>
      <c r="Z201" s="97"/>
      <c r="AA201" s="97"/>
      <c r="AB201" s="97"/>
      <c r="AC201" s="97"/>
      <c r="AD201" s="97"/>
      <c r="AE201" s="95">
        <f>SUM(AF201:AR201)</f>
        <v>0</v>
      </c>
      <c r="AF201" s="97"/>
      <c r="AG201" s="97"/>
      <c r="AH201" s="97"/>
      <c r="AI201" s="97"/>
      <c r="AJ201" s="97"/>
      <c r="AK201" s="97"/>
      <c r="AL201" s="97"/>
      <c r="AM201" s="97"/>
      <c r="AN201" s="97"/>
      <c r="AO201" s="97"/>
      <c r="AP201" s="97"/>
      <c r="AQ201" s="97"/>
      <c r="AR201" s="97"/>
      <c r="AS201" s="95">
        <f t="shared" si="223"/>
        <v>11470115</v>
      </c>
      <c r="AT201" s="97"/>
      <c r="AU201" s="97"/>
      <c r="AV201" s="259">
        <f>16557816-6064029+976328</f>
        <v>11470115</v>
      </c>
      <c r="AW201" s="95"/>
      <c r="AX201" s="97"/>
      <c r="AY201" s="97"/>
      <c r="AZ201" s="97"/>
      <c r="BA201" s="97"/>
      <c r="BB201" s="97"/>
      <c r="BC201" s="97"/>
      <c r="BD201" s="97"/>
      <c r="BE201" s="97"/>
      <c r="BF201" s="97"/>
      <c r="BG201" s="97"/>
      <c r="BH201" s="147"/>
    </row>
    <row r="202" spans="1:60" s="3" customFormat="1" ht="17.100000000000001" customHeight="1" x14ac:dyDescent="0.2">
      <c r="A202" s="23"/>
      <c r="B202" s="22" t="s">
        <v>200</v>
      </c>
      <c r="C202" s="245" t="s">
        <v>234</v>
      </c>
      <c r="D202" s="99">
        <f t="shared" si="222"/>
        <v>10039611</v>
      </c>
      <c r="E202" s="99">
        <f>F202+G202+H202+O202+N202+P202+Q202+S202+AE202+AS202+BB202+BE202+BG202+BH202</f>
        <v>10039611</v>
      </c>
      <c r="F202" s="104"/>
      <c r="G202" s="101"/>
      <c r="H202" s="101">
        <f>SUM(I202:M202)</f>
        <v>0</v>
      </c>
      <c r="I202" s="100"/>
      <c r="J202" s="100"/>
      <c r="K202" s="100"/>
      <c r="L202" s="100"/>
      <c r="M202" s="100"/>
      <c r="N202" s="101"/>
      <c r="O202" s="101"/>
      <c r="P202" s="101"/>
      <c r="Q202" s="101"/>
      <c r="R202" s="101">
        <f>T202+U202+W202+Y202+AA202+AB202+AC202</f>
        <v>0</v>
      </c>
      <c r="S202" s="101">
        <f t="shared" si="224"/>
        <v>0</v>
      </c>
      <c r="T202" s="100"/>
      <c r="U202" s="102"/>
      <c r="V202" s="102"/>
      <c r="W202" s="100"/>
      <c r="X202" s="100"/>
      <c r="Y202" s="100"/>
      <c r="Z202" s="100"/>
      <c r="AA202" s="100"/>
      <c r="AB202" s="100"/>
      <c r="AC202" s="100"/>
      <c r="AD202" s="100"/>
      <c r="AE202" s="101">
        <f>SUM(AF202:AR202)</f>
        <v>0</v>
      </c>
      <c r="AF202" s="100"/>
      <c r="AG202" s="100"/>
      <c r="AH202" s="100"/>
      <c r="AI202" s="100"/>
      <c r="AJ202" s="100"/>
      <c r="AK202" s="100"/>
      <c r="AL202" s="100"/>
      <c r="AM202" s="100"/>
      <c r="AN202" s="100"/>
      <c r="AO202" s="100"/>
      <c r="AP202" s="100"/>
      <c r="AQ202" s="100"/>
      <c r="AR202" s="100"/>
      <c r="AS202" s="101">
        <f t="shared" si="223"/>
        <v>10039611</v>
      </c>
      <c r="AT202" s="100"/>
      <c r="AU202" s="100"/>
      <c r="AV202" s="247">
        <f>14472574-5300343+867380</f>
        <v>10039611</v>
      </c>
      <c r="AW202" s="101"/>
      <c r="AX202" s="100"/>
      <c r="AY202" s="100"/>
      <c r="AZ202" s="100"/>
      <c r="BA202" s="100"/>
      <c r="BB202" s="100"/>
      <c r="BC202" s="100"/>
      <c r="BD202" s="100"/>
      <c r="BE202" s="100"/>
      <c r="BF202" s="100"/>
      <c r="BG202" s="100"/>
      <c r="BH202" s="103"/>
    </row>
    <row r="203" spans="1:60" s="3" customFormat="1" ht="16.5" thickBot="1" x14ac:dyDescent="0.25">
      <c r="A203" s="23"/>
      <c r="B203" s="22" t="s">
        <v>173</v>
      </c>
      <c r="C203" s="262" t="s">
        <v>329</v>
      </c>
      <c r="D203" s="99">
        <f t="shared" si="222"/>
        <v>361772</v>
      </c>
      <c r="E203" s="99">
        <f>F203+G203+H203+O203+N203+P203+Q203+S203+AE203+AS203+BB203+BE203+BG203+BH203</f>
        <v>361772</v>
      </c>
      <c r="F203" s="104"/>
      <c r="G203" s="101"/>
      <c r="H203" s="101"/>
      <c r="I203" s="100"/>
      <c r="J203" s="100"/>
      <c r="K203" s="100"/>
      <c r="L203" s="100"/>
      <c r="M203" s="100"/>
      <c r="N203" s="101"/>
      <c r="O203" s="101"/>
      <c r="P203" s="101"/>
      <c r="Q203" s="101"/>
      <c r="R203" s="101"/>
      <c r="S203" s="101"/>
      <c r="T203" s="100"/>
      <c r="U203" s="102"/>
      <c r="V203" s="102"/>
      <c r="W203" s="100"/>
      <c r="X203" s="100"/>
      <c r="Y203" s="100"/>
      <c r="Z203" s="100"/>
      <c r="AA203" s="100"/>
      <c r="AB203" s="100"/>
      <c r="AC203" s="100"/>
      <c r="AD203" s="100"/>
      <c r="AE203" s="101"/>
      <c r="AF203" s="100"/>
      <c r="AG203" s="100"/>
      <c r="AH203" s="100"/>
      <c r="AI203" s="100"/>
      <c r="AJ203" s="100"/>
      <c r="AK203" s="100"/>
      <c r="AL203" s="100"/>
      <c r="AM203" s="100"/>
      <c r="AN203" s="100"/>
      <c r="AO203" s="100"/>
      <c r="AP203" s="100"/>
      <c r="AQ203" s="100"/>
      <c r="AR203" s="100"/>
      <c r="AS203" s="101">
        <f t="shared" si="223"/>
        <v>361772</v>
      </c>
      <c r="AT203" s="100"/>
      <c r="AU203" s="100"/>
      <c r="AV203" s="247">
        <v>361772</v>
      </c>
      <c r="AW203" s="101"/>
      <c r="AX203" s="100"/>
      <c r="AY203" s="100"/>
      <c r="AZ203" s="100"/>
      <c r="BA203" s="100"/>
      <c r="BB203" s="100"/>
      <c r="BC203" s="100"/>
      <c r="BD203" s="100"/>
      <c r="BE203" s="100"/>
      <c r="BF203" s="100"/>
      <c r="BG203" s="100"/>
      <c r="BH203" s="103"/>
    </row>
    <row r="204" spans="1:60" s="3" customFormat="1" ht="17.100000000000001" hidden="1" customHeight="1" x14ac:dyDescent="0.2">
      <c r="A204" s="23"/>
      <c r="B204" s="22" t="s">
        <v>263</v>
      </c>
      <c r="C204" s="93" t="s">
        <v>247</v>
      </c>
      <c r="D204" s="99">
        <f t="shared" si="222"/>
        <v>0</v>
      </c>
      <c r="E204" s="99">
        <f>G204+H204+I204+O204+Q204+R204+S204+AF204+AT204+BC204</f>
        <v>0</v>
      </c>
      <c r="F204" s="104"/>
      <c r="G204" s="101"/>
      <c r="H204" s="101"/>
      <c r="I204" s="100"/>
      <c r="J204" s="100"/>
      <c r="K204" s="100"/>
      <c r="L204" s="100"/>
      <c r="M204" s="100"/>
      <c r="N204" s="101"/>
      <c r="O204" s="101"/>
      <c r="P204" s="101"/>
      <c r="Q204" s="101"/>
      <c r="R204" s="101"/>
      <c r="S204" s="101"/>
      <c r="T204" s="100"/>
      <c r="U204" s="102"/>
      <c r="V204" s="102"/>
      <c r="W204" s="100"/>
      <c r="X204" s="100"/>
      <c r="Y204" s="100"/>
      <c r="Z204" s="100"/>
      <c r="AA204" s="100"/>
      <c r="AB204" s="100"/>
      <c r="AC204" s="100"/>
      <c r="AD204" s="100"/>
      <c r="AE204" s="101"/>
      <c r="AF204" s="100"/>
      <c r="AG204" s="100"/>
      <c r="AH204" s="100"/>
      <c r="AI204" s="100"/>
      <c r="AJ204" s="100"/>
      <c r="AK204" s="100"/>
      <c r="AL204" s="100"/>
      <c r="AM204" s="100"/>
      <c r="AN204" s="100"/>
      <c r="AO204" s="100"/>
      <c r="AP204" s="100"/>
      <c r="AQ204" s="100"/>
      <c r="AR204" s="100"/>
      <c r="AS204" s="101">
        <f t="shared" si="223"/>
        <v>0</v>
      </c>
      <c r="AT204" s="100"/>
      <c r="AU204" s="100"/>
      <c r="AV204" s="100"/>
      <c r="AW204" s="101"/>
      <c r="AX204" s="100"/>
      <c r="AY204" s="100"/>
      <c r="AZ204" s="100"/>
      <c r="BA204" s="100"/>
      <c r="BB204" s="100"/>
      <c r="BC204" s="100"/>
      <c r="BD204" s="100"/>
      <c r="BE204" s="100"/>
      <c r="BF204" s="100"/>
      <c r="BG204" s="100"/>
      <c r="BH204" s="103"/>
    </row>
    <row r="205" spans="1:60" s="3" customFormat="1" ht="17.100000000000001" hidden="1" customHeight="1" x14ac:dyDescent="0.2">
      <c r="A205" s="23"/>
      <c r="B205" s="22" t="s">
        <v>122</v>
      </c>
      <c r="C205" s="93" t="s">
        <v>248</v>
      </c>
      <c r="D205" s="99">
        <f t="shared" si="222"/>
        <v>0</v>
      </c>
      <c r="E205" s="99">
        <f>G205+H205+I205+O205+Q205+R205+S205+AF205+AT205+BC205</f>
        <v>0</v>
      </c>
      <c r="F205" s="104"/>
      <c r="G205" s="101"/>
      <c r="H205" s="101"/>
      <c r="I205" s="100"/>
      <c r="J205" s="100"/>
      <c r="K205" s="100"/>
      <c r="L205" s="100"/>
      <c r="M205" s="100"/>
      <c r="N205" s="101"/>
      <c r="O205" s="101"/>
      <c r="P205" s="101"/>
      <c r="Q205" s="101"/>
      <c r="R205" s="101"/>
      <c r="S205" s="101"/>
      <c r="T205" s="100"/>
      <c r="U205" s="102"/>
      <c r="V205" s="102"/>
      <c r="W205" s="100"/>
      <c r="X205" s="100"/>
      <c r="Y205" s="100"/>
      <c r="Z205" s="100"/>
      <c r="AA205" s="100"/>
      <c r="AB205" s="100"/>
      <c r="AC205" s="100"/>
      <c r="AD205" s="100"/>
      <c r="AE205" s="101"/>
      <c r="AF205" s="100"/>
      <c r="AG205" s="100"/>
      <c r="AH205" s="100"/>
      <c r="AI205" s="100"/>
      <c r="AJ205" s="100"/>
      <c r="AK205" s="100"/>
      <c r="AL205" s="100"/>
      <c r="AM205" s="100"/>
      <c r="AN205" s="100"/>
      <c r="AO205" s="100"/>
      <c r="AP205" s="100"/>
      <c r="AQ205" s="100"/>
      <c r="AR205" s="100"/>
      <c r="AS205" s="101">
        <f t="shared" si="223"/>
        <v>0</v>
      </c>
      <c r="AT205" s="100"/>
      <c r="AU205" s="100"/>
      <c r="AV205" s="100"/>
      <c r="AW205" s="101"/>
      <c r="AX205" s="100"/>
      <c r="AY205" s="100"/>
      <c r="AZ205" s="100"/>
      <c r="BA205" s="100"/>
      <c r="BB205" s="100"/>
      <c r="BC205" s="100"/>
      <c r="BD205" s="100"/>
      <c r="BE205" s="100"/>
      <c r="BF205" s="100"/>
      <c r="BG205" s="100"/>
      <c r="BH205" s="103"/>
    </row>
    <row r="206" spans="1:60" s="3" customFormat="1" ht="17.100000000000001" hidden="1" customHeight="1" thickBot="1" x14ac:dyDescent="0.25">
      <c r="A206" s="45"/>
      <c r="B206" s="176" t="s">
        <v>180</v>
      </c>
      <c r="C206" s="177" t="s">
        <v>214</v>
      </c>
      <c r="D206" s="131">
        <f t="shared" si="222"/>
        <v>0</v>
      </c>
      <c r="E206" s="131">
        <f>G206+H206+I206+O206+Q206+R206+S206+AF206+AT206+BC206</f>
        <v>0</v>
      </c>
      <c r="F206" s="223"/>
      <c r="G206" s="110"/>
      <c r="H206" s="110"/>
      <c r="I206" s="112"/>
      <c r="J206" s="112"/>
      <c r="K206" s="112"/>
      <c r="L206" s="112"/>
      <c r="M206" s="112"/>
      <c r="N206" s="110"/>
      <c r="O206" s="110"/>
      <c r="P206" s="110"/>
      <c r="Q206" s="110"/>
      <c r="R206" s="110"/>
      <c r="S206" s="110"/>
      <c r="T206" s="112"/>
      <c r="U206" s="125"/>
      <c r="V206" s="125"/>
      <c r="W206" s="112"/>
      <c r="X206" s="112"/>
      <c r="Y206" s="112"/>
      <c r="Z206" s="112"/>
      <c r="AA206" s="112"/>
      <c r="AB206" s="112"/>
      <c r="AC206" s="112"/>
      <c r="AD206" s="112"/>
      <c r="AE206" s="110"/>
      <c r="AF206" s="112"/>
      <c r="AG206" s="112"/>
      <c r="AH206" s="112"/>
      <c r="AI206" s="112"/>
      <c r="AJ206" s="112"/>
      <c r="AK206" s="112"/>
      <c r="AL206" s="112"/>
      <c r="AM206" s="112"/>
      <c r="AN206" s="112"/>
      <c r="AO206" s="112"/>
      <c r="AP206" s="112"/>
      <c r="AQ206" s="112"/>
      <c r="AR206" s="112"/>
      <c r="AS206" s="110">
        <f t="shared" si="223"/>
        <v>0</v>
      </c>
      <c r="AT206" s="112"/>
      <c r="AU206" s="112"/>
      <c r="AV206" s="112"/>
      <c r="AW206" s="110"/>
      <c r="AX206" s="112"/>
      <c r="AY206" s="112"/>
      <c r="AZ206" s="112"/>
      <c r="BA206" s="112"/>
      <c r="BB206" s="112"/>
      <c r="BC206" s="112"/>
      <c r="BD206" s="112"/>
      <c r="BE206" s="112"/>
      <c r="BF206" s="112"/>
      <c r="BG206" s="112"/>
      <c r="BH206" s="126"/>
    </row>
    <row r="207" spans="1:60" s="48" customFormat="1" ht="20.100000000000001" customHeight="1" thickBot="1" x14ac:dyDescent="0.25">
      <c r="A207" s="28" t="s">
        <v>199</v>
      </c>
      <c r="B207" s="29" t="s">
        <v>200</v>
      </c>
      <c r="C207" s="263" t="s">
        <v>279</v>
      </c>
      <c r="D207" s="115">
        <f>AS207</f>
        <v>955796</v>
      </c>
      <c r="E207" s="175">
        <f>F207+G207+H207+O207+N207+P207+Q207+S207+AE207+AS207+BB207+BE207+BG207+BH207</f>
        <v>955796</v>
      </c>
      <c r="F207" s="116"/>
      <c r="G207" s="117"/>
      <c r="H207" s="117">
        <f t="shared" si="220"/>
        <v>0</v>
      </c>
      <c r="I207" s="117"/>
      <c r="J207" s="117"/>
      <c r="K207" s="117"/>
      <c r="L207" s="117"/>
      <c r="M207" s="117"/>
      <c r="N207" s="117"/>
      <c r="O207" s="117"/>
      <c r="P207" s="117"/>
      <c r="Q207" s="117"/>
      <c r="R207" s="117">
        <f>T207+U207+W207+Y207+AA207+AB207+AC207</f>
        <v>0</v>
      </c>
      <c r="S207" s="117">
        <f>T207+V207+X207+Z207+AB207+AC207+AD207</f>
        <v>0</v>
      </c>
      <c r="T207" s="117"/>
      <c r="U207" s="118"/>
      <c r="V207" s="118"/>
      <c r="W207" s="117"/>
      <c r="X207" s="117"/>
      <c r="Y207" s="117"/>
      <c r="Z207" s="117"/>
      <c r="AA207" s="117"/>
      <c r="AB207" s="117"/>
      <c r="AC207" s="117"/>
      <c r="AD207" s="117"/>
      <c r="AE207" s="117">
        <f>SUM(AF207:AR207)</f>
        <v>0</v>
      </c>
      <c r="AF207" s="117"/>
      <c r="AG207" s="117"/>
      <c r="AH207" s="117"/>
      <c r="AI207" s="117"/>
      <c r="AJ207" s="117"/>
      <c r="AK207" s="117"/>
      <c r="AL207" s="117"/>
      <c r="AM207" s="117"/>
      <c r="AN207" s="117"/>
      <c r="AO207" s="117"/>
      <c r="AP207" s="117"/>
      <c r="AQ207" s="117"/>
      <c r="AR207" s="117"/>
      <c r="AS207" s="117">
        <f t="shared" si="223"/>
        <v>955796</v>
      </c>
      <c r="AT207" s="117"/>
      <c r="AU207" s="117"/>
      <c r="AV207" s="117"/>
      <c r="AW207" s="117"/>
      <c r="AX207" s="261">
        <f>923275+32521</f>
        <v>955796</v>
      </c>
      <c r="AY207" s="117"/>
      <c r="AZ207" s="117"/>
      <c r="BA207" s="117"/>
      <c r="BB207" s="117"/>
      <c r="BC207" s="117"/>
      <c r="BD207" s="117"/>
      <c r="BE207" s="117"/>
      <c r="BF207" s="117"/>
      <c r="BG207" s="117"/>
      <c r="BH207" s="120"/>
    </row>
    <row r="208" spans="1:60" s="3" customFormat="1" ht="16.5" thickBot="1" x14ac:dyDescent="0.25">
      <c r="A208" s="25" t="s">
        <v>201</v>
      </c>
      <c r="B208" s="26" t="s">
        <v>90</v>
      </c>
      <c r="C208" s="154" t="s">
        <v>63</v>
      </c>
      <c r="D208" s="155">
        <f>SUM(D19,D33,D117:D118,D21:D30,D37,D42,D46,D50:D52,D55:D58,D60:D68,D70:D78,D83,D85:D88,D90:D98,D100:D102,D106:D109,D111,D113:D115,D122,D125:D126,D128:D132,D134,D140,D138,D142,D147:D156,D157:D157,D160:D164,D168:D173,D175:D183,D186:D194)+SUM(D195:D199)+D207+D144+SUM(D201:D206)</f>
        <v>174473997</v>
      </c>
      <c r="E208" s="155">
        <f>SUM(E19,E33,E117:E118,E21:E30,E37,E42,E46,E50:E51,E55:E58,E60:E68,E70:E78,E83,E85:E88,E90:E98,E100:E102,E106:E109,E111,E113:E115,E122,E125:E126,E128:E132,E134,E140,E138,E142,E147:E156,E157:E157,E160:E164,E168:E173,E175:E183,E186:E194)+SUM(E195:E199)+E207+E144+SUM(E201:E206)</f>
        <v>167920277</v>
      </c>
      <c r="F208" s="155">
        <f t="shared" ref="F208:AD208" si="225">SUM(F19,F33,F117:F118,F21:F30,F37,F42,F46,F50:F51,F55:F58,F60:F68,F70:F78,F83,F85:F88,F90:F98,F100:F102,F106:F109,F111,F113:F115,F122,F125:F126,F128:F132,F134,F140,F138,F142,F148:F156,F157:F157,F160:F164,F168:F173,F175:F183,F186:F194)+SUM(F195:F199)+F207+F144+SUM(F201:F206)</f>
        <v>95664668</v>
      </c>
      <c r="G208" s="155">
        <f t="shared" si="225"/>
        <v>20035447</v>
      </c>
      <c r="H208" s="155">
        <f t="shared" si="225"/>
        <v>12877118</v>
      </c>
      <c r="I208" s="155">
        <f t="shared" si="225"/>
        <v>18900</v>
      </c>
      <c r="J208" s="155">
        <f t="shared" si="225"/>
        <v>95000</v>
      </c>
      <c r="K208" s="155">
        <f t="shared" si="225"/>
        <v>10784057</v>
      </c>
      <c r="L208" s="155">
        <f t="shared" si="225"/>
        <v>1579626</v>
      </c>
      <c r="M208" s="155">
        <f t="shared" si="225"/>
        <v>399535</v>
      </c>
      <c r="N208" s="155">
        <f t="shared" si="225"/>
        <v>5740</v>
      </c>
      <c r="O208" s="155">
        <f t="shared" si="225"/>
        <v>0</v>
      </c>
      <c r="P208" s="155">
        <f t="shared" si="225"/>
        <v>0</v>
      </c>
      <c r="Q208" s="155">
        <f t="shared" si="225"/>
        <v>330405</v>
      </c>
      <c r="R208" s="155">
        <f t="shared" si="225"/>
        <v>5565915</v>
      </c>
      <c r="S208" s="155">
        <f t="shared" si="225"/>
        <v>595154</v>
      </c>
      <c r="T208" s="155">
        <f t="shared" si="225"/>
        <v>129538</v>
      </c>
      <c r="U208" s="155">
        <f t="shared" si="225"/>
        <v>3594718</v>
      </c>
      <c r="V208" s="155">
        <f t="shared" si="225"/>
        <v>0</v>
      </c>
      <c r="W208" s="155">
        <f t="shared" si="225"/>
        <v>876169</v>
      </c>
      <c r="X208" s="155">
        <f t="shared" si="225"/>
        <v>0</v>
      </c>
      <c r="Y208" s="155">
        <f t="shared" si="225"/>
        <v>451480</v>
      </c>
      <c r="Z208" s="155">
        <f t="shared" si="225"/>
        <v>0</v>
      </c>
      <c r="AA208" s="155">
        <f t="shared" si="225"/>
        <v>23837</v>
      </c>
      <c r="AB208" s="155">
        <f t="shared" si="225"/>
        <v>441779</v>
      </c>
      <c r="AC208" s="155">
        <f t="shared" si="225"/>
        <v>48394</v>
      </c>
      <c r="AD208" s="155">
        <f t="shared" si="225"/>
        <v>0</v>
      </c>
      <c r="AE208" s="155">
        <f>SUM(AE19,AE33,AE117:AE118,AE21:AE30,AE37,AE42,AE46,AE50:AE51,AE55:AE58,AE60:AE68,AE70:AE78,AE83,AE85:AE88,AE90:AE98,AE100:AE102,AE106:AE109,AE111,AE113:AE115,AE122,AE125:AE126,AE128:AE132,AE134,AE140,AE138,AE142,AE147:AE156,AE157:AE157,AE160:AE164,AE168:AE173,AE175:AE183,AE186:AE194)+SUM(AE195:AE199)+AE207+AE144+SUM(AE201:AE206)</f>
        <v>4231659</v>
      </c>
      <c r="AF208" s="155">
        <f t="shared" ref="AF208:AP208" si="226">SUM(AF19,AF33,AF117:AF118,AF21:AF30,AF37,AF42,AF46,AF50:AF51,AF55:AF58,AF60:AF68,AF70:AF78,AF83,AF85:AF88,AF90:AF98,AF100:AF102,AF106:AF109,AF111,AF113:AF115,AF122,AF125:AF126,AF128:AF132,AF134,AF140,AF138,AF142,AF148:AF156,AF157:AF157,AF160:AF164,AF168:AF173,AF175:AF183,AF186:AF194)+SUM(AF195:AF199)+AF207+AF144+SUM(AF201:AF206)</f>
        <v>36428</v>
      </c>
      <c r="AG208" s="155">
        <f t="shared" si="226"/>
        <v>642254</v>
      </c>
      <c r="AH208" s="155">
        <f t="shared" si="226"/>
        <v>196648</v>
      </c>
      <c r="AI208" s="155">
        <f t="shared" si="226"/>
        <v>54811</v>
      </c>
      <c r="AJ208" s="155">
        <f t="shared" si="226"/>
        <v>0</v>
      </c>
      <c r="AK208" s="155">
        <f t="shared" si="226"/>
        <v>7800</v>
      </c>
      <c r="AL208" s="155">
        <f t="shared" si="226"/>
        <v>34900</v>
      </c>
      <c r="AM208" s="155">
        <f t="shared" si="226"/>
        <v>38922</v>
      </c>
      <c r="AN208" s="155">
        <f t="shared" si="226"/>
        <v>1600</v>
      </c>
      <c r="AO208" s="155">
        <f t="shared" si="226"/>
        <v>137016</v>
      </c>
      <c r="AP208" s="155">
        <f t="shared" si="226"/>
        <v>20527</v>
      </c>
      <c r="AQ208" s="155">
        <f t="shared" ref="AQ208" si="227">SUM(AQ19,AQ33,AQ117:AQ118,AQ21:AQ30,AQ37,AQ42,AQ46,AQ50:AQ51,AQ55:AQ58,AQ60:AQ68,AQ70:AQ78,AQ83,AQ85:AQ88,AQ90:AQ98,AQ100:AQ102,AQ106:AQ109,AQ111,AQ113:AQ115,AQ122,AQ125:AQ126,AQ128:AQ132,AQ134,AQ140,AQ138,AQ142,AQ148:AQ156,AQ157:AQ157,AQ160:AQ164,AQ168:AQ173,AQ175:AQ183,AQ186:AQ194)+SUM(AQ195:AQ199)+AQ207+AQ144+SUM(AQ201:AQ206)</f>
        <v>30000</v>
      </c>
      <c r="AR208" s="155">
        <f>SUM(AR19,AR33,AR117:AR118,AR21:AR30,AR37,AR42,AR46,AR50:AR51,AR55:AR58,AR60:AR68,AR70:AR78,AR83,AR85:AR88,AR90:AR98,AR100:AR102,AR106:AR109,AR111,AR113:AR115,AR122,AR125:AR126,AR128:AR132,AR134,AR140,AR138,AR142,AR147:AR156,AR157:AR157,AR160:AR164,AR168:AR173,AR175:AR183,AR186:AR194)+SUM(AR195:AR199)+AR207+AR144+SUM(AR201:AR206)</f>
        <v>3030753</v>
      </c>
      <c r="AS208" s="155">
        <f t="shared" ref="AS208:BD208" si="228">SUM(AS19,AS33,AS117:AS118,AS21:AS30,AS37,AS42,AS46,AS50:AS51,AS55:AS58,AS60:AS68,AS70:AS78,AS83,AS85:AS88,AS90:AS98,AS100:AS102,AS106:AS109,AS111,AS113:AS115,AS122,AS125:AS126,AS128:AS132,AS134,AS140,AS138,AS142,AS148:AS156,AS157:AS157,AS160:AS164,AS168:AS173,AS175:AS183,AS186:AS194)+SUM(AS195:AS199)+AS207+AS144+SUM(AS201:AS206)</f>
        <v>33783712</v>
      </c>
      <c r="AT208" s="155">
        <f t="shared" si="228"/>
        <v>195000</v>
      </c>
      <c r="AU208" s="155">
        <f t="shared" si="228"/>
        <v>9078495</v>
      </c>
      <c r="AV208" s="155">
        <f t="shared" si="228"/>
        <v>21871498</v>
      </c>
      <c r="AW208" s="155">
        <f t="shared" si="228"/>
        <v>73100</v>
      </c>
      <c r="AX208" s="155">
        <f t="shared" si="228"/>
        <v>955796</v>
      </c>
      <c r="AY208" s="155">
        <f t="shared" si="228"/>
        <v>1609823</v>
      </c>
      <c r="AZ208" s="155">
        <f t="shared" si="228"/>
        <v>0</v>
      </c>
      <c r="BA208" s="155">
        <f t="shared" si="228"/>
        <v>0</v>
      </c>
      <c r="BB208" s="155">
        <f t="shared" si="228"/>
        <v>558931</v>
      </c>
      <c r="BC208" s="155">
        <f t="shared" si="228"/>
        <v>0</v>
      </c>
      <c r="BD208" s="155">
        <f t="shared" si="228"/>
        <v>0</v>
      </c>
      <c r="BE208" s="155">
        <f>SUM(BE19,BE33,BE117:BE118,BE21:BE30,BE37,BE42,BE46,BE50:BE52,BE55:BE58,BE60:BE68,BE70:BE78,BE83,BE85:BE88,BE90:BE98,BE100:BE102,BE106:BE109,BE111,BE113:BE115,BE122,BE125:BE126,BE128:BE132,BE134,BE140,BE138,BE142,BE148:BE156,BE157:BE157,BE160:BE164,BE168:BE173,BE175:BE183,BE186:BE194)+SUM(BE195:BE199)+BE207+BE144+SUM(BE201:BE206)</f>
        <v>880724</v>
      </c>
      <c r="BF208" s="155">
        <f>SUM(BF19,BF33,BF117:BF118,BF21:BF30,BF37,BF42,BF46,BF50:BF51,BF55:BF58,BF60:BF68,BF70:BF78,BF83,BF85:BF88,BF90:BF98,BF100:BF102,BF106:BF109,BF111,BF113:BF115,BF122,BF125:BF126,BF128:BF132,BF134,BF140,BF138,BF142,BF148:BF156,BF157:BF157,BF160:BF164,BF168:BF173,BF175:BF183,BF186:BF194)+SUM(BF195:BF199)+BF207+BF144+SUM(BF201:BF206)</f>
        <v>0</v>
      </c>
      <c r="BG208" s="155">
        <f>SUM(BG19,BG33,BG117:BG118,BG21:BG30,BG37,BG42,BG46,BG50:BG51,BG55:BG58,BG60:BG68,BG70:BG78,BG83,BG85:BG88,BG90:BG98,BG100:BG102,BG106:BG109,BG111,BG113:BG115,BG122,BG125:BG126,BG128:BG132,BG134,BG140,BG138,BG142,BG148:BG156,BG157:BG157,BG160:BG164,BG168:BG173,BG175:BG183,BG186:BG194)+SUM(BG195:BG199)+BG207+BG144+SUM(BG201:BG206)</f>
        <v>0</v>
      </c>
      <c r="BH208" s="155">
        <f>SUM(BH19,BH33,BH117:BH118,BH21:BH30,BH37,BH42,BH46,BH50:BH51,BH55:BH58,BH60:BH68,BH70:BH78,BH83,BH85:BH88,BH90:BH98,BH100:BH102,BH106:BH109,BH111,BH113:BH115,BH122,BH125:BH126,BH128:BH132,BH134,BH140,BH138,BH142,BH148:BH156,BH157:BH157,BH160:BH164,BH168:BH173,BH175:BH183,BH186:BH194)+SUM(BH195:BH199)+BH207+BH144+SUM(BH201:BH206)</f>
        <v>539678</v>
      </c>
    </row>
    <row r="209" spans="1:63" ht="16.5" thickBot="1" x14ac:dyDescent="0.3">
      <c r="A209" s="209"/>
      <c r="B209" s="210"/>
      <c r="C209" s="211"/>
      <c r="D209" s="157">
        <f>D17+D34+D39+D44+D48+D81+D104+D120+D123+D136+D200+D207</f>
        <v>174473997</v>
      </c>
      <c r="E209" s="157">
        <f t="shared" ref="E209:AI209" si="229">E17+E34+E39+E44+E48+E81+E104+E120+E123+E136+E200+E207</f>
        <v>167380599</v>
      </c>
      <c r="F209" s="157">
        <f t="shared" si="229"/>
        <v>95664668</v>
      </c>
      <c r="G209" s="157">
        <f t="shared" si="229"/>
        <v>20035447</v>
      </c>
      <c r="H209" s="157">
        <f t="shared" si="229"/>
        <v>12877118</v>
      </c>
      <c r="I209" s="157">
        <f t="shared" si="229"/>
        <v>18900</v>
      </c>
      <c r="J209" s="157">
        <f t="shared" si="229"/>
        <v>95000</v>
      </c>
      <c r="K209" s="157">
        <f t="shared" si="229"/>
        <v>10784057</v>
      </c>
      <c r="L209" s="157">
        <f t="shared" si="229"/>
        <v>1579626</v>
      </c>
      <c r="M209" s="157">
        <f t="shared" si="229"/>
        <v>399535</v>
      </c>
      <c r="N209" s="157">
        <f t="shared" si="229"/>
        <v>5740</v>
      </c>
      <c r="O209" s="157">
        <f t="shared" si="229"/>
        <v>0</v>
      </c>
      <c r="P209" s="157">
        <f t="shared" si="229"/>
        <v>0</v>
      </c>
      <c r="Q209" s="157">
        <f t="shared" si="229"/>
        <v>330405</v>
      </c>
      <c r="R209" s="157">
        <f t="shared" si="229"/>
        <v>5565915</v>
      </c>
      <c r="S209" s="157">
        <f t="shared" si="229"/>
        <v>595154</v>
      </c>
      <c r="T209" s="157">
        <f t="shared" si="229"/>
        <v>129538</v>
      </c>
      <c r="U209" s="157">
        <f t="shared" si="229"/>
        <v>3594718</v>
      </c>
      <c r="V209" s="157">
        <f t="shared" si="229"/>
        <v>0</v>
      </c>
      <c r="W209" s="157">
        <f t="shared" si="229"/>
        <v>876169</v>
      </c>
      <c r="X209" s="157">
        <f t="shared" si="229"/>
        <v>0</v>
      </c>
      <c r="Y209" s="157">
        <f t="shared" si="229"/>
        <v>451480</v>
      </c>
      <c r="Z209" s="157">
        <f t="shared" si="229"/>
        <v>0</v>
      </c>
      <c r="AA209" s="157">
        <f t="shared" si="229"/>
        <v>23837</v>
      </c>
      <c r="AB209" s="157">
        <f t="shared" si="229"/>
        <v>441779</v>
      </c>
      <c r="AC209" s="157">
        <f t="shared" si="229"/>
        <v>48394</v>
      </c>
      <c r="AD209" s="157">
        <f t="shared" si="229"/>
        <v>0</v>
      </c>
      <c r="AE209" s="157">
        <f t="shared" si="229"/>
        <v>4201659</v>
      </c>
      <c r="AF209" s="157">
        <f t="shared" si="229"/>
        <v>36428</v>
      </c>
      <c r="AG209" s="157">
        <f t="shared" si="229"/>
        <v>642254</v>
      </c>
      <c r="AH209" s="157">
        <f t="shared" si="229"/>
        <v>196648</v>
      </c>
      <c r="AI209" s="157">
        <f t="shared" si="229"/>
        <v>54811</v>
      </c>
      <c r="AJ209" s="157">
        <f t="shared" ref="AJ209:BH209" si="230">AJ17+AJ34+AJ39+AJ44+AJ48+AJ81+AJ104+AJ120+AJ123+AJ136+AJ200+AJ207</f>
        <v>0</v>
      </c>
      <c r="AK209" s="157">
        <f t="shared" si="230"/>
        <v>7800</v>
      </c>
      <c r="AL209" s="157">
        <f t="shared" si="230"/>
        <v>34900</v>
      </c>
      <c r="AM209" s="157">
        <f t="shared" si="230"/>
        <v>38922</v>
      </c>
      <c r="AN209" s="157">
        <f t="shared" si="230"/>
        <v>1600</v>
      </c>
      <c r="AO209" s="157">
        <f t="shared" si="230"/>
        <v>137016</v>
      </c>
      <c r="AP209" s="157">
        <f t="shared" si="230"/>
        <v>20527</v>
      </c>
      <c r="AQ209" s="157">
        <f t="shared" ref="AQ209" si="231">AQ17+AQ34+AQ39+AQ44+AQ48+AQ81+AQ104+AQ120+AQ123+AQ136+AQ200+AQ207</f>
        <v>30000</v>
      </c>
      <c r="AR209" s="157">
        <f t="shared" si="230"/>
        <v>3030753</v>
      </c>
      <c r="AS209" s="157">
        <f t="shared" si="230"/>
        <v>33783712</v>
      </c>
      <c r="AT209" s="157">
        <f t="shared" si="230"/>
        <v>195000</v>
      </c>
      <c r="AU209" s="157">
        <f t="shared" si="230"/>
        <v>9078495</v>
      </c>
      <c r="AV209" s="157">
        <f t="shared" si="230"/>
        <v>21871498</v>
      </c>
      <c r="AW209" s="157">
        <f t="shared" si="230"/>
        <v>73100</v>
      </c>
      <c r="AX209" s="157">
        <f t="shared" si="230"/>
        <v>955796</v>
      </c>
      <c r="AY209" s="157">
        <f t="shared" si="230"/>
        <v>1609823</v>
      </c>
      <c r="AZ209" s="157">
        <f t="shared" si="230"/>
        <v>0</v>
      </c>
      <c r="BA209" s="157">
        <f t="shared" si="230"/>
        <v>0</v>
      </c>
      <c r="BB209" s="157">
        <f t="shared" si="230"/>
        <v>558931</v>
      </c>
      <c r="BC209" s="157">
        <f t="shared" si="230"/>
        <v>0</v>
      </c>
      <c r="BD209" s="157">
        <f t="shared" si="230"/>
        <v>0</v>
      </c>
      <c r="BE209" s="157">
        <f t="shared" si="230"/>
        <v>880724</v>
      </c>
      <c r="BF209" s="157">
        <f t="shared" si="230"/>
        <v>0</v>
      </c>
      <c r="BG209" s="157">
        <f t="shared" si="230"/>
        <v>0</v>
      </c>
      <c r="BH209" s="157">
        <f t="shared" si="230"/>
        <v>539678</v>
      </c>
      <c r="BK209" s="2"/>
    </row>
    <row r="210" spans="1:63" ht="15.75" x14ac:dyDescent="0.25">
      <c r="A210" s="9"/>
      <c r="B210" s="9"/>
      <c r="C210" s="158">
        <f>D210-C214</f>
        <v>0</v>
      </c>
      <c r="D210" s="199">
        <f>F208+G208+H208+N208+O208+P208+Q208+R208+AE208+AS208+BB208+BH208+BE208+BF208+BG208+BD208+BC208+BA208</f>
        <v>174473997</v>
      </c>
      <c r="E210" s="199">
        <f>F208+G208+H208+O208+N208+P208+Q208+S208+AE208+AS208+BC208+BH208+BF208+BE208+BG208+BB208+BD208+BA208</f>
        <v>169503236</v>
      </c>
      <c r="F210" s="12">
        <f>F208-F209</f>
        <v>0</v>
      </c>
      <c r="G210" s="12">
        <f t="shared" ref="G210:BF210" si="232">G208-G209</f>
        <v>0</v>
      </c>
      <c r="H210" s="12">
        <f>H208-H209</f>
        <v>0</v>
      </c>
      <c r="I210" s="12">
        <f t="shared" si="232"/>
        <v>0</v>
      </c>
      <c r="J210" s="12">
        <f t="shared" si="232"/>
        <v>0</v>
      </c>
      <c r="K210" s="12">
        <f t="shared" si="232"/>
        <v>0</v>
      </c>
      <c r="L210" s="12">
        <f t="shared" si="232"/>
        <v>0</v>
      </c>
      <c r="M210" s="12">
        <f t="shared" si="232"/>
        <v>0</v>
      </c>
      <c r="N210" s="12">
        <f t="shared" si="232"/>
        <v>0</v>
      </c>
      <c r="O210" s="12">
        <f t="shared" si="232"/>
        <v>0</v>
      </c>
      <c r="P210" s="12">
        <f t="shared" si="232"/>
        <v>0</v>
      </c>
      <c r="Q210" s="12">
        <f t="shared" si="232"/>
        <v>0</v>
      </c>
      <c r="R210" s="12">
        <f t="shared" si="232"/>
        <v>0</v>
      </c>
      <c r="S210" s="12">
        <f t="shared" ref="S210" si="233">S208-S209</f>
        <v>0</v>
      </c>
      <c r="T210" s="12">
        <f t="shared" si="232"/>
        <v>0</v>
      </c>
      <c r="U210" s="12">
        <f t="shared" si="232"/>
        <v>0</v>
      </c>
      <c r="V210" s="12">
        <f t="shared" ref="V210" si="234">V208-V209</f>
        <v>0</v>
      </c>
      <c r="W210" s="12">
        <f t="shared" si="232"/>
        <v>0</v>
      </c>
      <c r="X210" s="12">
        <f t="shared" ref="X210" si="235">X208-X209</f>
        <v>0</v>
      </c>
      <c r="Y210" s="12">
        <f t="shared" si="232"/>
        <v>0</v>
      </c>
      <c r="Z210" s="12">
        <f t="shared" ref="Z210" si="236">Z208-Z209</f>
        <v>0</v>
      </c>
      <c r="AA210" s="12">
        <f t="shared" si="232"/>
        <v>0</v>
      </c>
      <c r="AB210" s="12">
        <f t="shared" si="232"/>
        <v>0</v>
      </c>
      <c r="AC210" s="12">
        <f t="shared" si="232"/>
        <v>0</v>
      </c>
      <c r="AD210" s="12">
        <f t="shared" ref="AD210" si="237">AD208-AD209</f>
        <v>0</v>
      </c>
      <c r="AE210" s="12">
        <f t="shared" si="232"/>
        <v>30000</v>
      </c>
      <c r="AF210" s="12">
        <f t="shared" si="232"/>
        <v>0</v>
      </c>
      <c r="AG210" s="12">
        <f t="shared" si="232"/>
        <v>0</v>
      </c>
      <c r="AH210" s="12">
        <f t="shared" si="232"/>
        <v>0</v>
      </c>
      <c r="AI210" s="12">
        <f>AI208-AI209</f>
        <v>0</v>
      </c>
      <c r="AJ210" s="12">
        <f t="shared" si="232"/>
        <v>0</v>
      </c>
      <c r="AK210" s="12">
        <f t="shared" si="232"/>
        <v>0</v>
      </c>
      <c r="AL210" s="12">
        <f t="shared" si="232"/>
        <v>0</v>
      </c>
      <c r="AM210" s="12">
        <f t="shared" si="232"/>
        <v>0</v>
      </c>
      <c r="AN210" s="12">
        <f t="shared" si="232"/>
        <v>0</v>
      </c>
      <c r="AO210" s="12">
        <f t="shared" si="232"/>
        <v>0</v>
      </c>
      <c r="AP210" s="12">
        <f t="shared" si="232"/>
        <v>0</v>
      </c>
      <c r="AQ210" s="12">
        <f t="shared" ref="AQ210" si="238">AQ208-AQ209</f>
        <v>0</v>
      </c>
      <c r="AR210" s="12">
        <f t="shared" si="232"/>
        <v>0</v>
      </c>
      <c r="AS210" s="12">
        <f t="shared" si="232"/>
        <v>0</v>
      </c>
      <c r="AT210" s="12">
        <f t="shared" si="232"/>
        <v>0</v>
      </c>
      <c r="AU210" s="12">
        <f>AU208-AU209</f>
        <v>0</v>
      </c>
      <c r="AV210" s="12">
        <f t="shared" si="232"/>
        <v>0</v>
      </c>
      <c r="AW210" s="12">
        <f>AW208-AW209</f>
        <v>0</v>
      </c>
      <c r="AX210" s="12">
        <f t="shared" si="232"/>
        <v>0</v>
      </c>
      <c r="AY210" s="12">
        <f t="shared" ref="AY210" si="239">AY208-AY209</f>
        <v>0</v>
      </c>
      <c r="AZ210" s="12">
        <f t="shared" si="232"/>
        <v>0</v>
      </c>
      <c r="BA210" s="12">
        <f t="shared" si="232"/>
        <v>0</v>
      </c>
      <c r="BB210" s="12">
        <f t="shared" si="232"/>
        <v>0</v>
      </c>
      <c r="BC210" s="12">
        <f t="shared" si="232"/>
        <v>0</v>
      </c>
      <c r="BD210" s="12">
        <f t="shared" si="232"/>
        <v>0</v>
      </c>
      <c r="BE210" s="12">
        <f t="shared" si="232"/>
        <v>0</v>
      </c>
      <c r="BF210" s="12">
        <f t="shared" si="232"/>
        <v>0</v>
      </c>
      <c r="BG210" s="12">
        <f>BG208-BG209</f>
        <v>0</v>
      </c>
      <c r="BH210" s="12">
        <f>BH208-BH209</f>
        <v>0</v>
      </c>
    </row>
    <row r="211" spans="1:63" ht="15.75" hidden="1" x14ac:dyDescent="0.25">
      <c r="A211" s="9"/>
      <c r="B211" s="9"/>
      <c r="C211" s="156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9"/>
      <c r="BD211" s="9"/>
      <c r="BE211" s="8"/>
      <c r="BF211" s="8"/>
      <c r="BG211" s="8"/>
      <c r="BH211" s="8"/>
    </row>
    <row r="212" spans="1:63" ht="15.75" hidden="1" x14ac:dyDescent="0.25">
      <c r="A212" s="9"/>
      <c r="B212" s="9"/>
      <c r="C212" s="156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74"/>
      <c r="V212" s="74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9"/>
      <c r="BD212" s="9"/>
      <c r="BE212" s="8"/>
      <c r="BF212" s="8"/>
      <c r="BG212" s="8"/>
      <c r="BH212" s="8"/>
    </row>
    <row r="213" spans="1:63" ht="15.75" hidden="1" x14ac:dyDescent="0.25">
      <c r="A213" s="9"/>
      <c r="B213" s="9"/>
      <c r="C213" s="156"/>
      <c r="D213" s="8" t="e">
        <f>#REF!+AU213+AW213+BE213+BF213</f>
        <v>#REF!</v>
      </c>
      <c r="E213" s="8" t="e">
        <f>#REF!+AW213+AV213+BF213+BG213</f>
        <v>#REF!</v>
      </c>
      <c r="F213" s="8">
        <f t="shared" ref="F213:AK213" si="240">F208-F209</f>
        <v>0</v>
      </c>
      <c r="G213" s="8">
        <f t="shared" si="240"/>
        <v>0</v>
      </c>
      <c r="H213" s="8">
        <f t="shared" si="240"/>
        <v>0</v>
      </c>
      <c r="I213" s="8">
        <f t="shared" si="240"/>
        <v>0</v>
      </c>
      <c r="J213" s="8">
        <f t="shared" si="240"/>
        <v>0</v>
      </c>
      <c r="K213" s="8">
        <f t="shared" si="240"/>
        <v>0</v>
      </c>
      <c r="L213" s="8">
        <f t="shared" si="240"/>
        <v>0</v>
      </c>
      <c r="M213" s="8">
        <f t="shared" si="240"/>
        <v>0</v>
      </c>
      <c r="N213" s="8">
        <f t="shared" si="240"/>
        <v>0</v>
      </c>
      <c r="O213" s="8">
        <f>O208-O209</f>
        <v>0</v>
      </c>
      <c r="P213" s="8">
        <f t="shared" si="240"/>
        <v>0</v>
      </c>
      <c r="Q213" s="8">
        <f t="shared" si="240"/>
        <v>0</v>
      </c>
      <c r="R213" s="8">
        <f t="shared" si="240"/>
        <v>0</v>
      </c>
      <c r="S213" s="8">
        <f t="shared" ref="S213" si="241">S208-S209</f>
        <v>0</v>
      </c>
      <c r="T213" s="8">
        <f t="shared" si="240"/>
        <v>0</v>
      </c>
      <c r="U213" s="8">
        <f t="shared" si="240"/>
        <v>0</v>
      </c>
      <c r="V213" s="8">
        <f t="shared" ref="V213" si="242">V208-V209</f>
        <v>0</v>
      </c>
      <c r="W213" s="8">
        <f t="shared" si="240"/>
        <v>0</v>
      </c>
      <c r="X213" s="8">
        <f t="shared" ref="X213" si="243">X208-X209</f>
        <v>0</v>
      </c>
      <c r="Y213" s="8">
        <f t="shared" si="240"/>
        <v>0</v>
      </c>
      <c r="Z213" s="8">
        <f t="shared" ref="Z213" si="244">Z208-Z209</f>
        <v>0</v>
      </c>
      <c r="AA213" s="8">
        <f t="shared" si="240"/>
        <v>0</v>
      </c>
      <c r="AB213" s="8">
        <f t="shared" si="240"/>
        <v>0</v>
      </c>
      <c r="AC213" s="8">
        <f t="shared" si="240"/>
        <v>0</v>
      </c>
      <c r="AD213" s="8">
        <f t="shared" ref="AD213" si="245">AD208-AD209</f>
        <v>0</v>
      </c>
      <c r="AE213" s="8">
        <f t="shared" si="240"/>
        <v>30000</v>
      </c>
      <c r="AF213" s="8">
        <f t="shared" si="240"/>
        <v>0</v>
      </c>
      <c r="AG213" s="8">
        <f t="shared" si="240"/>
        <v>0</v>
      </c>
      <c r="AH213" s="8">
        <f t="shared" si="240"/>
        <v>0</v>
      </c>
      <c r="AI213" s="8">
        <f t="shared" si="240"/>
        <v>0</v>
      </c>
      <c r="AJ213" s="8">
        <f t="shared" si="240"/>
        <v>0</v>
      </c>
      <c r="AK213" s="8">
        <f t="shared" si="240"/>
        <v>0</v>
      </c>
      <c r="AL213" s="8">
        <f t="shared" ref="AL213:BG213" si="246">AL208-AL209</f>
        <v>0</v>
      </c>
      <c r="AM213" s="8">
        <f t="shared" si="246"/>
        <v>0</v>
      </c>
      <c r="AN213" s="8">
        <f t="shared" si="246"/>
        <v>0</v>
      </c>
      <c r="AO213" s="8">
        <f>AO208-AO209</f>
        <v>0</v>
      </c>
      <c r="AP213" s="8">
        <f t="shared" si="246"/>
        <v>0</v>
      </c>
      <c r="AQ213" s="8">
        <f t="shared" ref="AQ213" si="247">AQ208-AQ209</f>
        <v>0</v>
      </c>
      <c r="AR213" s="8">
        <f t="shared" si="246"/>
        <v>0</v>
      </c>
      <c r="AS213" s="8">
        <f t="shared" si="246"/>
        <v>0</v>
      </c>
      <c r="AT213" s="8">
        <f t="shared" si="246"/>
        <v>0</v>
      </c>
      <c r="AU213" s="8">
        <f>5192390-AU209</f>
        <v>-3886105</v>
      </c>
      <c r="AV213" s="8">
        <f>14308827-AV209</f>
        <v>-7562671</v>
      </c>
      <c r="AW213" s="8">
        <f>14308827-AW209</f>
        <v>14235727</v>
      </c>
      <c r="AX213" s="8">
        <f t="shared" si="246"/>
        <v>0</v>
      </c>
      <c r="AY213" s="8">
        <f t="shared" ref="AY213" si="248">AY208-AY209</f>
        <v>0</v>
      </c>
      <c r="AZ213" s="8">
        <f t="shared" si="246"/>
        <v>0</v>
      </c>
      <c r="BA213" s="8"/>
      <c r="BB213" s="8">
        <f t="shared" si="246"/>
        <v>0</v>
      </c>
      <c r="BC213" s="9"/>
      <c r="BD213" s="9"/>
      <c r="BE213" s="8">
        <f>1035018-BE209</f>
        <v>154294</v>
      </c>
      <c r="BF213" s="8">
        <f>1274808-BF209</f>
        <v>1274808</v>
      </c>
      <c r="BG213" s="8">
        <f t="shared" si="246"/>
        <v>0</v>
      </c>
      <c r="BH213" s="8">
        <f>BH208-BH209</f>
        <v>0</v>
      </c>
    </row>
    <row r="214" spans="1:63" ht="15.75" x14ac:dyDescent="0.25">
      <c r="A214" s="9"/>
      <c r="B214" s="9"/>
      <c r="C214" s="158">
        <f>(125450688+12927657+10609937+31227038)+(404580+644372+111750+887363+32521+34187+341775+939959+21062+(-6064029-5300343+976328+463228+404152+361772))</f>
        <v>174473997</v>
      </c>
      <c r="D214" s="17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214" t="s">
        <v>290</v>
      </c>
      <c r="S214" s="214" t="s">
        <v>291</v>
      </c>
      <c r="T214" s="8">
        <f>T208-T159</f>
        <v>129538</v>
      </c>
      <c r="U214" s="8">
        <f>U208-U159</f>
        <v>3581221</v>
      </c>
      <c r="V214" s="8">
        <f t="shared" ref="V214" si="249">V208-V159</f>
        <v>0</v>
      </c>
      <c r="W214" s="8">
        <f>W208-W159</f>
        <v>857019</v>
      </c>
      <c r="X214" s="8">
        <f t="shared" ref="X214" si="250">X208-X159</f>
        <v>0</v>
      </c>
      <c r="Y214" s="8">
        <f t="shared" ref="Y214:AB214" si="251">Y208-Y159</f>
        <v>447322</v>
      </c>
      <c r="Z214" s="8">
        <f t="shared" ref="Z214" si="252">Z208-Z159</f>
        <v>0</v>
      </c>
      <c r="AA214" s="8">
        <f t="shared" si="251"/>
        <v>20595</v>
      </c>
      <c r="AB214" s="8">
        <f t="shared" si="251"/>
        <v>441779</v>
      </c>
      <c r="AC214" s="8">
        <f>AC208-AC159</f>
        <v>48394</v>
      </c>
      <c r="AD214" s="8">
        <f>AD208-AD159</f>
        <v>0</v>
      </c>
      <c r="AE214" s="8">
        <f>U214+W214+Y214+AC214-U126-W126-Y126-AC126-U88-W88-Y88</f>
        <v>4491509</v>
      </c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9"/>
      <c r="BD214" s="9"/>
      <c r="BE214" s="8"/>
      <c r="BF214" s="8"/>
      <c r="BG214" s="8"/>
      <c r="BH214" s="8"/>
    </row>
    <row r="215" spans="1:63" ht="15.75" customHeight="1" x14ac:dyDescent="0.25">
      <c r="A215" s="9"/>
      <c r="B215" s="7"/>
      <c r="C215" s="238"/>
      <c r="D215" s="10">
        <f>D209-D210</f>
        <v>0</v>
      </c>
      <c r="E215" s="10">
        <f>E209-E210</f>
        <v>-2122637</v>
      </c>
      <c r="F215" s="10"/>
      <c r="G215" s="10"/>
      <c r="H215" s="8"/>
      <c r="I215" s="8"/>
      <c r="J215" s="8"/>
      <c r="K215" s="8"/>
      <c r="L215" s="8"/>
      <c r="M215" s="8"/>
      <c r="N215" s="8"/>
      <c r="O215" s="8"/>
      <c r="P215" s="8"/>
      <c r="Q215" s="198" t="s">
        <v>325</v>
      </c>
      <c r="R215" s="240">
        <f>U208+W208+Y208+AC208-U159-W159-Y159-U215-W215-Y215-AC215+AB208</f>
        <v>4933288</v>
      </c>
      <c r="S215" s="59">
        <f>V208+X208+Z208+AD208-V215-X215-Z215-AD215-V159-X159-Z159</f>
        <v>0</v>
      </c>
      <c r="T215" s="241" t="s">
        <v>292</v>
      </c>
      <c r="U215" s="8">
        <f t="shared" ref="U215:Z215" si="253">U88+U126</f>
        <v>315037</v>
      </c>
      <c r="V215" s="8">
        <f t="shared" si="253"/>
        <v>0</v>
      </c>
      <c r="W215" s="8">
        <f t="shared" si="253"/>
        <v>71003</v>
      </c>
      <c r="X215" s="8">
        <f t="shared" si="253"/>
        <v>0</v>
      </c>
      <c r="Y215" s="8">
        <f t="shared" si="253"/>
        <v>54896</v>
      </c>
      <c r="Z215" s="8">
        <f t="shared" si="253"/>
        <v>0</v>
      </c>
      <c r="AA215" s="8"/>
      <c r="AB215" s="8"/>
      <c r="AC215" s="8">
        <f>AC88+AC126</f>
        <v>1511</v>
      </c>
      <c r="AD215" s="8">
        <f>AD88+AD126</f>
        <v>0</v>
      </c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9"/>
      <c r="BD215" s="9"/>
      <c r="BE215" s="8"/>
      <c r="BF215" s="8"/>
      <c r="BG215" s="8"/>
      <c r="BH215" s="8"/>
    </row>
    <row r="216" spans="1:63" ht="15.75" customHeight="1" x14ac:dyDescent="0.25">
      <c r="A216" s="9"/>
      <c r="B216" s="9"/>
      <c r="C216" s="187"/>
      <c r="D216" s="12">
        <f>C214-D208</f>
        <v>0</v>
      </c>
      <c r="E216" s="12">
        <f>D214-E208</f>
        <v>-167920277</v>
      </c>
      <c r="F216" s="10">
        <f>F209+G209</f>
        <v>115700115</v>
      </c>
      <c r="G216" s="8" t="s">
        <v>265</v>
      </c>
      <c r="H216" s="8"/>
      <c r="I216" s="8"/>
      <c r="J216" s="8"/>
      <c r="K216" s="8">
        <f>K208-K159</f>
        <v>6811114</v>
      </c>
      <c r="L216" s="75"/>
      <c r="M216" s="8"/>
      <c r="N216" s="8"/>
      <c r="O216" s="8"/>
      <c r="P216" s="8"/>
      <c r="Q216" s="74" t="s">
        <v>296</v>
      </c>
      <c r="R216" s="8">
        <v>4968635</v>
      </c>
      <c r="S216" s="8">
        <v>634168</v>
      </c>
      <c r="T216" s="242" t="s">
        <v>310</v>
      </c>
      <c r="U216" s="8">
        <f>U159</f>
        <v>13497</v>
      </c>
      <c r="V216" s="8">
        <f t="shared" ref="V216:AC216" si="254">V159</f>
        <v>0</v>
      </c>
      <c r="W216" s="8">
        <f t="shared" si="254"/>
        <v>19150</v>
      </c>
      <c r="X216" s="8">
        <f t="shared" si="254"/>
        <v>0</v>
      </c>
      <c r="Y216" s="8">
        <f t="shared" si="254"/>
        <v>4158</v>
      </c>
      <c r="Z216" s="8">
        <f t="shared" si="254"/>
        <v>0</v>
      </c>
      <c r="AA216" s="79" t="s">
        <v>318</v>
      </c>
      <c r="AB216" s="8">
        <f t="shared" si="254"/>
        <v>0</v>
      </c>
      <c r="AC216" s="8">
        <f t="shared" si="254"/>
        <v>0</v>
      </c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9"/>
      <c r="BD216" s="9"/>
      <c r="BE216" s="8"/>
      <c r="BF216" s="8"/>
      <c r="BG216" s="8"/>
      <c r="BH216" s="8"/>
    </row>
    <row r="217" spans="1:63" ht="16.5" customHeight="1" x14ac:dyDescent="0.25">
      <c r="A217" s="9"/>
      <c r="B217" s="9"/>
      <c r="C217" s="156"/>
      <c r="D217" s="8"/>
      <c r="E217" s="8"/>
      <c r="F217" s="8"/>
      <c r="G217" s="8"/>
      <c r="H217" s="8"/>
      <c r="I217" s="8">
        <f t="shared" ref="I217:Q217" si="255">I208-I159-I167-I200-I207+I169-I126-I88</f>
        <v>13650</v>
      </c>
      <c r="J217" s="8">
        <f t="shared" si="255"/>
        <v>0</v>
      </c>
      <c r="K217" s="8">
        <f t="shared" si="255"/>
        <v>4578530</v>
      </c>
      <c r="L217" s="8">
        <f t="shared" si="255"/>
        <v>1388906</v>
      </c>
      <c r="M217" s="8">
        <f t="shared" si="255"/>
        <v>231662</v>
      </c>
      <c r="N217" s="8">
        <f t="shared" si="255"/>
        <v>5740</v>
      </c>
      <c r="O217" s="8">
        <f t="shared" si="255"/>
        <v>0</v>
      </c>
      <c r="P217" s="8">
        <f t="shared" si="255"/>
        <v>0</v>
      </c>
      <c r="Q217" s="8">
        <f t="shared" si="255"/>
        <v>309005</v>
      </c>
      <c r="R217" s="8">
        <f>U208+W208+Y208+AC208</f>
        <v>4970761</v>
      </c>
      <c r="S217" s="8">
        <f t="shared" ref="S217:AP217" si="256">S208-S159-S167-S200-S207+S169-S126-S88</f>
        <v>588112</v>
      </c>
      <c r="T217" s="8">
        <f t="shared" si="256"/>
        <v>125738</v>
      </c>
      <c r="U217" s="8">
        <f t="shared" si="256"/>
        <v>3266184</v>
      </c>
      <c r="V217" s="8">
        <f t="shared" si="256"/>
        <v>0</v>
      </c>
      <c r="W217" s="8">
        <f t="shared" si="256"/>
        <v>786016</v>
      </c>
      <c r="X217" s="8">
        <f t="shared" si="256"/>
        <v>0</v>
      </c>
      <c r="Y217" s="8">
        <f t="shared" si="256"/>
        <v>392426</v>
      </c>
      <c r="Z217" s="8">
        <f t="shared" si="256"/>
        <v>0</v>
      </c>
      <c r="AA217" s="8">
        <f t="shared" si="256"/>
        <v>20595</v>
      </c>
      <c r="AB217" s="8">
        <f t="shared" si="256"/>
        <v>441779</v>
      </c>
      <c r="AC217" s="8">
        <f t="shared" si="256"/>
        <v>46883</v>
      </c>
      <c r="AD217" s="8">
        <f t="shared" si="256"/>
        <v>0</v>
      </c>
      <c r="AE217" s="8">
        <f t="shared" si="256"/>
        <v>3888542</v>
      </c>
      <c r="AF217" s="8">
        <f t="shared" si="256"/>
        <v>19428</v>
      </c>
      <c r="AG217" s="8">
        <f t="shared" si="256"/>
        <v>483254</v>
      </c>
      <c r="AH217" s="8">
        <f t="shared" si="256"/>
        <v>196648</v>
      </c>
      <c r="AI217" s="8">
        <f t="shared" si="256"/>
        <v>34799</v>
      </c>
      <c r="AJ217" s="8">
        <f t="shared" si="256"/>
        <v>0</v>
      </c>
      <c r="AK217" s="8">
        <f t="shared" si="256"/>
        <v>7800</v>
      </c>
      <c r="AL217" s="8">
        <f t="shared" si="256"/>
        <v>29900</v>
      </c>
      <c r="AM217" s="8">
        <f t="shared" si="256"/>
        <v>38922</v>
      </c>
      <c r="AN217" s="8">
        <f t="shared" si="256"/>
        <v>1600</v>
      </c>
      <c r="AO217" s="8">
        <f t="shared" si="256"/>
        <v>82357</v>
      </c>
      <c r="AP217" s="8">
        <f t="shared" si="256"/>
        <v>20527</v>
      </c>
      <c r="AQ217" s="8">
        <f t="shared" ref="AQ217" si="257">AQ208-AQ159-AQ167-AQ200-AQ207+AQ169-AQ126-AQ88</f>
        <v>30000</v>
      </c>
      <c r="AR217" s="8">
        <f>AR208-AR159-AR149-AR138-AR140-AR126-AR88</f>
        <v>2529345</v>
      </c>
      <c r="AS217" s="8">
        <f t="shared" ref="AS217:BA217" si="258">AS208-AS159-AS167-AS200-AS207+AS169-AS126-AS88</f>
        <v>7819548</v>
      </c>
      <c r="AT217" s="8">
        <f t="shared" si="258"/>
        <v>195000</v>
      </c>
      <c r="AU217" s="8">
        <f t="shared" si="258"/>
        <v>5941625</v>
      </c>
      <c r="AV217" s="8">
        <f t="shared" si="258"/>
        <v>0</v>
      </c>
      <c r="AW217" s="8">
        <f t="shared" si="258"/>
        <v>73100</v>
      </c>
      <c r="AX217" s="8">
        <f t="shared" si="258"/>
        <v>0</v>
      </c>
      <c r="AY217" s="8">
        <f t="shared" si="258"/>
        <v>1609823</v>
      </c>
      <c r="AZ217" s="8">
        <f t="shared" si="258"/>
        <v>0</v>
      </c>
      <c r="BA217" s="8">
        <f t="shared" si="258"/>
        <v>0</v>
      </c>
      <c r="BB217" s="8">
        <f>BB208-BB159-BB126-BB88</f>
        <v>194375</v>
      </c>
      <c r="BC217" s="8">
        <f t="shared" ref="BC217:BH217" si="259">BC208-BC159-BC167-BC200-BC207+BC169-BC126-BC88</f>
        <v>0</v>
      </c>
      <c r="BD217" s="8">
        <f t="shared" si="259"/>
        <v>0</v>
      </c>
      <c r="BE217" s="8">
        <f t="shared" si="259"/>
        <v>880724</v>
      </c>
      <c r="BF217" s="8">
        <f t="shared" si="259"/>
        <v>0</v>
      </c>
      <c r="BG217" s="8">
        <f t="shared" si="259"/>
        <v>0</v>
      </c>
      <c r="BH217" s="8">
        <f t="shared" si="259"/>
        <v>0</v>
      </c>
    </row>
    <row r="218" spans="1:63" ht="16.5" customHeight="1" x14ac:dyDescent="0.25">
      <c r="A218" s="9"/>
      <c r="B218" s="9"/>
      <c r="C218" s="156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74"/>
      <c r="R218" s="8">
        <f>R216-R217</f>
        <v>-2126</v>
      </c>
      <c r="S218" s="8">
        <f>G221+R218</f>
        <v>-2126</v>
      </c>
      <c r="T218" s="8"/>
      <c r="U218" s="74"/>
      <c r="V218" s="74"/>
      <c r="W218" s="74"/>
      <c r="X218" s="74"/>
      <c r="Y218" s="8"/>
      <c r="Z218" s="8"/>
      <c r="AA218" s="8"/>
      <c r="AB218" s="8"/>
      <c r="AC218" s="74"/>
      <c r="AD218" s="74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76"/>
      <c r="AU218" s="77"/>
      <c r="AV218" s="8"/>
      <c r="AW218" s="8"/>
      <c r="AX218" s="8"/>
      <c r="AY218" s="8"/>
      <c r="AZ218" s="8"/>
      <c r="BA218" s="8"/>
      <c r="BB218" s="8"/>
      <c r="BC218" s="9"/>
      <c r="BD218" s="9"/>
      <c r="BE218" s="8"/>
      <c r="BF218" s="8"/>
      <c r="BG218" s="8"/>
      <c r="BH218" s="8"/>
    </row>
    <row r="219" spans="1:63" ht="16.5" customHeight="1" x14ac:dyDescent="0.25">
      <c r="A219" s="9"/>
      <c r="B219" s="9"/>
      <c r="C219" s="156"/>
      <c r="D219" s="8"/>
      <c r="E219" s="8"/>
      <c r="F219" s="8"/>
      <c r="G219" s="8"/>
      <c r="H219" s="8"/>
      <c r="I219" s="8"/>
      <c r="J219" s="8"/>
      <c r="K219" s="7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</row>
    <row r="220" spans="1:63" ht="17.25" customHeight="1" x14ac:dyDescent="0.25">
      <c r="A220" s="9"/>
      <c r="B220" s="9"/>
      <c r="C220" s="156"/>
      <c r="D220" s="8">
        <f>D19+D20+D32+D34+D39+D44+D48+D81+D104+D120+D123+D136+D200+D207</f>
        <v>174473997</v>
      </c>
      <c r="E220" s="8">
        <f>E19+E20+E32+E34+E39+E44+E48+E81+E104+E120+E123+E136+E200+E207</f>
        <v>167380599</v>
      </c>
      <c r="F220" s="8"/>
      <c r="G220" s="9"/>
      <c r="H220" s="8"/>
      <c r="I220" s="8">
        <f>D209-D208</f>
        <v>0</v>
      </c>
      <c r="J220" s="8"/>
      <c r="K220" s="78"/>
      <c r="L220" s="8">
        <f>L208-L159-L126</f>
        <v>1388906</v>
      </c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10"/>
      <c r="AV220" s="8"/>
      <c r="AW220" s="8"/>
      <c r="AX220" s="8"/>
      <c r="AY220" s="8"/>
      <c r="AZ220" s="8"/>
      <c r="BA220" s="8"/>
      <c r="BB220" s="8"/>
      <c r="BC220" s="9"/>
      <c r="BD220" s="9"/>
      <c r="BE220" s="8"/>
      <c r="BF220" s="8"/>
      <c r="BG220" s="8"/>
      <c r="BH220" s="8"/>
    </row>
    <row r="221" spans="1:63" ht="19.5" customHeight="1" x14ac:dyDescent="0.25">
      <c r="A221" s="9"/>
      <c r="B221" s="9"/>
      <c r="C221" s="159"/>
      <c r="D221" s="8">
        <f>D208-D220</f>
        <v>0</v>
      </c>
      <c r="E221" s="8">
        <f>E208-E220</f>
        <v>539678</v>
      </c>
      <c r="F221" s="79">
        <f>F223+F224+F225</f>
        <v>174473997</v>
      </c>
      <c r="G221" s="214">
        <f>F221-C214</f>
        <v>0</v>
      </c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>
        <f>AA208-AA159-AA126-AA88</f>
        <v>20595</v>
      </c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9"/>
      <c r="BD221" s="9"/>
      <c r="BE221" s="8"/>
      <c r="BF221" s="8"/>
      <c r="BG221" s="8"/>
      <c r="BH221" s="8"/>
    </row>
    <row r="222" spans="1:63" ht="18" customHeight="1" x14ac:dyDescent="0.25">
      <c r="A222" s="9"/>
      <c r="B222" s="9"/>
      <c r="C222" s="156" t="s">
        <v>242</v>
      </c>
      <c r="D222" s="8">
        <f>D126-F126-G126-I126-K126+D88-F88-G88-I88-K88</f>
        <v>673957</v>
      </c>
      <c r="E222" s="8">
        <f>E126-F126-G126-I126-K126+E88-F88-G88-I88-K88</f>
        <v>231510</v>
      </c>
      <c r="F222" s="8">
        <v>673957</v>
      </c>
      <c r="G222" s="8">
        <f>D222-F222</f>
        <v>0</v>
      </c>
      <c r="H222" s="8"/>
      <c r="I222" s="8"/>
      <c r="J222" s="8"/>
      <c r="K222" s="8">
        <v>606704</v>
      </c>
      <c r="L222" s="213">
        <f>D222-K222</f>
        <v>67253</v>
      </c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9"/>
      <c r="BD222" s="9"/>
      <c r="BE222" s="8"/>
      <c r="BF222" s="8"/>
      <c r="BG222" s="8"/>
      <c r="BH222" s="8"/>
    </row>
    <row r="223" spans="1:63" ht="27" customHeight="1" x14ac:dyDescent="0.25">
      <c r="A223" s="9"/>
      <c r="B223" s="9"/>
      <c r="C223" s="156" t="s">
        <v>243</v>
      </c>
      <c r="D223" s="8">
        <f>F208+G208+I208+(K208-K159)+AB208+AT208+D222+AY208+D55+D50</f>
        <v>125450688</v>
      </c>
      <c r="E223" s="8">
        <f>F208+G208+I208+(K208-K159)+AB208+AT208+E222+AY208+E55+E50</f>
        <v>125008241</v>
      </c>
      <c r="F223" s="12">
        <v>125450688</v>
      </c>
      <c r="G223" s="16">
        <f>D223-F223</f>
        <v>0</v>
      </c>
      <c r="H223" s="10"/>
      <c r="I223" s="10"/>
      <c r="J223" s="80"/>
      <c r="K223" s="80"/>
      <c r="L223" s="8"/>
      <c r="M223" s="80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10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</row>
    <row r="224" spans="1:63" ht="15.75" x14ac:dyDescent="0.25">
      <c r="A224" s="9"/>
      <c r="B224" s="9"/>
      <c r="C224" s="239" t="s">
        <v>245</v>
      </c>
      <c r="D224" s="8">
        <f>D207+D185+D174+D171+D173+D200+D159+D79+D58+D52+D170+D137+D139+SUM(D195:D199)+SUM(D147:D149)+BF85+D172</f>
        <v>36095652</v>
      </c>
      <c r="E224" s="8">
        <f>E207+E185+E174+E173+E200+E159+E79+E58+E52+E170+E137+E139+SUM(E195:E199)+SUM(E147:E149)</f>
        <v>35512468</v>
      </c>
      <c r="F224" s="10">
        <f>(10609937+31227038)+(404580+644372+111750+887363+32521+34187+341775+939959+21062+(-11364372+976328+463228+404152+361772))</f>
        <v>36095652</v>
      </c>
      <c r="G224" s="16">
        <f>D224-F224</f>
        <v>0</v>
      </c>
      <c r="H224" s="9"/>
      <c r="I224" s="9"/>
      <c r="J224" s="80"/>
      <c r="K224" s="80"/>
      <c r="L224" s="8"/>
      <c r="M224" s="80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8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10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</row>
    <row r="225" spans="1:60" s="4" customFormat="1" ht="15.75" x14ac:dyDescent="0.25">
      <c r="A225" s="11"/>
      <c r="B225" s="9"/>
      <c r="C225" s="156" t="s">
        <v>249</v>
      </c>
      <c r="D225" s="10">
        <f>D208-D223-D224</f>
        <v>12927657</v>
      </c>
      <c r="E225" s="10">
        <f>E208-E223-E224</f>
        <v>7399568</v>
      </c>
      <c r="F225" s="12">
        <v>12927657</v>
      </c>
      <c r="G225" s="180">
        <f>D225-F225</f>
        <v>0</v>
      </c>
      <c r="H225" s="56"/>
      <c r="I225" s="11"/>
      <c r="J225" s="198"/>
      <c r="K225" s="79">
        <f>H225+G221</f>
        <v>0</v>
      </c>
      <c r="L225" s="8"/>
      <c r="M225" s="8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2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</row>
    <row r="226" spans="1:60" s="5" customFormat="1" ht="15.75" x14ac:dyDescent="0.25">
      <c r="A226" s="13"/>
      <c r="B226" s="9"/>
      <c r="C226" s="160"/>
      <c r="D226" s="10"/>
      <c r="E226" s="10"/>
      <c r="F226" s="13"/>
      <c r="G226" s="13"/>
      <c r="H226" s="82"/>
      <c r="I226" s="13"/>
      <c r="J226" s="83"/>
      <c r="K226" s="83"/>
      <c r="L226" s="8"/>
      <c r="M226" s="8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</row>
    <row r="227" spans="1:60" ht="15.75" x14ac:dyDescent="0.25">
      <c r="A227" s="9"/>
      <c r="B227" s="11"/>
      <c r="C227" s="11"/>
      <c r="D227" s="12"/>
      <c r="E227" s="12"/>
      <c r="F227" s="160"/>
      <c r="G227" s="9"/>
      <c r="H227" s="10"/>
      <c r="I227" s="9"/>
      <c r="J227" s="80"/>
      <c r="K227" s="76"/>
      <c r="L227" s="8"/>
      <c r="M227" s="76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9"/>
      <c r="BD227" s="9"/>
      <c r="BE227" s="10"/>
      <c r="BF227" s="10"/>
      <c r="BG227" s="10"/>
      <c r="BH227" s="10"/>
    </row>
    <row r="228" spans="1:60" ht="9.75" customHeight="1" x14ac:dyDescent="0.25">
      <c r="A228" s="9"/>
      <c r="B228" s="13"/>
      <c r="C228" s="161"/>
      <c r="D228" s="8"/>
      <c r="E228" s="8"/>
      <c r="F228" s="10"/>
      <c r="G228" s="10"/>
      <c r="H228" s="9"/>
      <c r="I228" s="9"/>
      <c r="J228" s="80"/>
      <c r="K228" s="80"/>
      <c r="L228" s="8"/>
      <c r="M228" s="80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10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</row>
    <row r="229" spans="1:60" ht="9.75" customHeight="1" x14ac:dyDescent="0.25">
      <c r="A229" s="9"/>
      <c r="B229" s="9"/>
      <c r="C229" s="162"/>
      <c r="D229" s="14"/>
      <c r="E229" s="14"/>
      <c r="F229" s="9"/>
      <c r="G229" s="9"/>
      <c r="H229" s="9"/>
      <c r="I229" s="9"/>
      <c r="J229" s="80"/>
      <c r="K229" s="80"/>
      <c r="L229" s="8"/>
      <c r="M229" s="80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</row>
    <row r="230" spans="1:60" ht="9.75" customHeight="1" x14ac:dyDescent="0.25">
      <c r="C230" s="163"/>
      <c r="D230" s="6"/>
      <c r="E230" s="6"/>
      <c r="F230" s="2"/>
      <c r="J230" s="84"/>
      <c r="K230" s="84"/>
      <c r="L230" s="85"/>
      <c r="M230" s="84"/>
    </row>
    <row r="231" spans="1:60" ht="9.75" customHeight="1" x14ac:dyDescent="0.25">
      <c r="C231" s="163"/>
      <c r="D231" s="6"/>
      <c r="E231" s="6"/>
      <c r="F231" s="2"/>
      <c r="G231" s="2"/>
      <c r="J231" s="84"/>
      <c r="K231" s="84"/>
      <c r="L231" s="85"/>
      <c r="M231" s="84"/>
    </row>
    <row r="232" spans="1:60" ht="9.75" customHeight="1" x14ac:dyDescent="0.25">
      <c r="C232" s="163"/>
      <c r="D232" s="6"/>
      <c r="E232" s="6"/>
      <c r="F232" s="2"/>
      <c r="G232" s="2"/>
      <c r="H232" s="2"/>
      <c r="J232" s="84"/>
      <c r="K232" s="84"/>
      <c r="L232" s="85"/>
      <c r="M232" s="84"/>
    </row>
    <row r="233" spans="1:60" ht="9.75" customHeight="1" x14ac:dyDescent="0.25">
      <c r="C233" s="163"/>
      <c r="D233" s="6"/>
      <c r="E233" s="6"/>
      <c r="F233" s="2"/>
      <c r="J233" s="84"/>
      <c r="K233" s="84"/>
      <c r="L233" s="85"/>
      <c r="M233" s="84"/>
    </row>
    <row r="234" spans="1:60" ht="9.75" customHeight="1" x14ac:dyDescent="0.25">
      <c r="C234" s="163"/>
      <c r="D234" s="6"/>
      <c r="E234" s="6"/>
      <c r="F234" s="2"/>
      <c r="J234" s="84"/>
      <c r="K234" s="84"/>
      <c r="L234" s="85"/>
      <c r="M234" s="84"/>
    </row>
    <row r="235" spans="1:60" ht="9.75" customHeight="1" x14ac:dyDescent="0.25">
      <c r="C235" s="163"/>
      <c r="D235" s="6"/>
      <c r="E235" s="6"/>
      <c r="F235" s="2"/>
      <c r="G235" s="2"/>
      <c r="J235" s="84"/>
      <c r="K235" s="84"/>
      <c r="L235" s="85"/>
      <c r="M235" s="84"/>
    </row>
    <row r="236" spans="1:60" ht="9.75" customHeight="1" x14ac:dyDescent="0.25">
      <c r="C236" s="163"/>
      <c r="D236" s="6"/>
      <c r="E236" s="6"/>
      <c r="F236" s="4"/>
      <c r="J236" s="84"/>
      <c r="K236" s="84"/>
      <c r="L236" s="85"/>
      <c r="M236" s="84"/>
    </row>
    <row r="237" spans="1:60" ht="9.75" customHeight="1" x14ac:dyDescent="0.25">
      <c r="D237" s="2"/>
      <c r="E237" s="2"/>
      <c r="F237" s="86"/>
      <c r="J237" s="84"/>
      <c r="K237" s="84"/>
      <c r="L237" s="85"/>
      <c r="M237" s="84"/>
    </row>
    <row r="238" spans="1:60" ht="9.75" customHeight="1" x14ac:dyDescent="0.25">
      <c r="D238" s="4"/>
      <c r="E238" s="4"/>
      <c r="J238" s="84"/>
      <c r="K238" s="84"/>
      <c r="L238" s="85"/>
      <c r="M238" s="84"/>
    </row>
    <row r="239" spans="1:60" ht="9.75" customHeight="1" x14ac:dyDescent="0.25">
      <c r="D239" s="4"/>
      <c r="E239" s="4"/>
      <c r="F239" s="2"/>
      <c r="J239" s="84"/>
      <c r="K239" s="84"/>
      <c r="L239" s="85"/>
      <c r="M239" s="84"/>
    </row>
    <row r="240" spans="1:60" ht="9.75" customHeight="1" x14ac:dyDescent="0.25">
      <c r="D240" s="2"/>
      <c r="E240" s="2"/>
      <c r="J240" s="84"/>
      <c r="K240" s="84"/>
      <c r="L240" s="85"/>
      <c r="M240" s="84"/>
    </row>
    <row r="241" spans="3:13" ht="9.75" customHeight="1" x14ac:dyDescent="0.25">
      <c r="D241" s="2"/>
      <c r="E241" s="2"/>
      <c r="J241" s="84"/>
      <c r="K241" s="84"/>
      <c r="L241" s="85"/>
      <c r="M241" s="84"/>
    </row>
    <row r="242" spans="3:13" ht="9.75" customHeight="1" x14ac:dyDescent="0.25">
      <c r="D242" s="2"/>
      <c r="E242" s="2"/>
      <c r="J242" s="84"/>
      <c r="K242" s="84"/>
      <c r="L242" s="85"/>
      <c r="M242" s="84"/>
    </row>
    <row r="243" spans="3:13" ht="9.75" customHeight="1" x14ac:dyDescent="0.25">
      <c r="J243" s="84"/>
      <c r="K243" s="84"/>
      <c r="L243" s="85"/>
      <c r="M243" s="84"/>
    </row>
    <row r="244" spans="3:13" ht="9.75" customHeight="1" x14ac:dyDescent="0.25">
      <c r="D244" s="2"/>
      <c r="E244" s="2"/>
      <c r="J244" s="84"/>
      <c r="K244" s="84"/>
      <c r="L244" s="85"/>
      <c r="M244" s="84"/>
    </row>
    <row r="245" spans="3:13" ht="9.75" customHeight="1" x14ac:dyDescent="0.25">
      <c r="J245" s="84"/>
      <c r="K245" s="84"/>
      <c r="L245" s="85"/>
      <c r="M245" s="84"/>
    </row>
    <row r="246" spans="3:13" ht="9.75" customHeight="1" x14ac:dyDescent="0.25">
      <c r="C246" s="164"/>
      <c r="D246" s="2"/>
      <c r="E246" s="2"/>
      <c r="F246" s="2"/>
      <c r="G246" s="2"/>
      <c r="J246" s="84"/>
      <c r="K246" s="84"/>
      <c r="L246" s="85"/>
      <c r="M246" s="84"/>
    </row>
    <row r="247" spans="3:13" ht="9.75" customHeight="1" x14ac:dyDescent="0.25">
      <c r="D247" s="2"/>
      <c r="E247" s="2"/>
      <c r="J247" s="84"/>
      <c r="K247" s="84"/>
      <c r="L247" s="85"/>
      <c r="M247" s="84"/>
    </row>
    <row r="248" spans="3:13" ht="9.75" customHeight="1" x14ac:dyDescent="0.25">
      <c r="D248" s="2"/>
      <c r="E248" s="2"/>
      <c r="F248" s="2"/>
      <c r="J248" s="84"/>
      <c r="K248" s="84"/>
      <c r="L248" s="85"/>
      <c r="M248" s="84"/>
    </row>
    <row r="249" spans="3:13" ht="9.75" customHeight="1" x14ac:dyDescent="0.25">
      <c r="D249" s="2"/>
      <c r="E249" s="2"/>
      <c r="F249" s="2"/>
      <c r="G249" s="2"/>
      <c r="J249" s="84"/>
      <c r="K249" s="84"/>
      <c r="L249" s="85"/>
      <c r="M249" s="84"/>
    </row>
    <row r="250" spans="3:13" ht="9.75" customHeight="1" x14ac:dyDescent="0.25">
      <c r="D250" s="2"/>
      <c r="E250" s="2"/>
      <c r="F250" s="2"/>
      <c r="J250" s="84"/>
      <c r="K250" s="84"/>
      <c r="L250" s="85"/>
      <c r="M250" s="84"/>
    </row>
    <row r="251" spans="3:13" ht="9.75" customHeight="1" x14ac:dyDescent="0.25">
      <c r="D251" s="2"/>
      <c r="E251" s="2"/>
      <c r="J251" s="84"/>
      <c r="K251" s="84"/>
      <c r="L251" s="85"/>
      <c r="M251" s="84"/>
    </row>
    <row r="252" spans="3:13" ht="9.75" customHeight="1" x14ac:dyDescent="0.25">
      <c r="D252" s="2"/>
      <c r="E252" s="2"/>
      <c r="F252" s="2"/>
      <c r="J252" s="84"/>
      <c r="K252" s="84"/>
      <c r="L252" s="85"/>
      <c r="M252" s="84"/>
    </row>
    <row r="253" spans="3:13" ht="9.75" customHeight="1" x14ac:dyDescent="0.25">
      <c r="D253" s="2"/>
      <c r="E253" s="2"/>
      <c r="J253" s="84"/>
      <c r="K253" s="84"/>
      <c r="L253" s="85"/>
      <c r="M253" s="84"/>
    </row>
    <row r="254" spans="3:13" ht="9.75" customHeight="1" x14ac:dyDescent="0.25">
      <c r="D254" s="2"/>
      <c r="E254" s="2"/>
      <c r="J254" s="84"/>
      <c r="K254" s="84"/>
      <c r="L254" s="85"/>
      <c r="M254" s="84"/>
    </row>
    <row r="255" spans="3:13" ht="9.75" customHeight="1" x14ac:dyDescent="0.25">
      <c r="J255" s="84"/>
      <c r="K255" s="84"/>
      <c r="L255" s="85"/>
      <c r="M255" s="84"/>
    </row>
    <row r="256" spans="3:13" ht="12.75" customHeight="1" x14ac:dyDescent="0.25">
      <c r="C256" s="165"/>
      <c r="D256" s="2"/>
      <c r="E256" s="2">
        <f>G208+H208+AR208+AW50+AW55</f>
        <v>35943318</v>
      </c>
      <c r="J256" s="84"/>
      <c r="K256" s="87"/>
      <c r="L256" s="85"/>
      <c r="M256" s="88"/>
    </row>
    <row r="257" spans="10:13" ht="12.75" customHeight="1" x14ac:dyDescent="0.25">
      <c r="J257" s="84"/>
      <c r="K257" s="87"/>
      <c r="L257" s="85"/>
      <c r="M257" s="88"/>
    </row>
    <row r="258" spans="10:13" ht="12.75" customHeight="1" x14ac:dyDescent="0.2">
      <c r="J258" s="84"/>
      <c r="K258" s="87"/>
      <c r="L258" s="88"/>
      <c r="M258" s="88"/>
    </row>
    <row r="259" spans="10:13" ht="12.75" customHeight="1" x14ac:dyDescent="0.2">
      <c r="J259" s="84"/>
      <c r="K259" s="89"/>
      <c r="L259" s="90"/>
      <c r="M259" s="90"/>
    </row>
    <row r="260" spans="10:13" ht="12.75" customHeight="1" x14ac:dyDescent="0.2">
      <c r="J260" s="84"/>
      <c r="K260" s="84"/>
      <c r="L260" s="84"/>
      <c r="M260" s="84"/>
    </row>
  </sheetData>
  <mergeCells count="12">
    <mergeCell ref="F10:L10"/>
    <mergeCell ref="F11:L11"/>
    <mergeCell ref="F13:K13"/>
    <mergeCell ref="A15:B15"/>
    <mergeCell ref="C15:C16"/>
    <mergeCell ref="D15:D16"/>
    <mergeCell ref="E15:E16"/>
    <mergeCell ref="R16:S16"/>
    <mergeCell ref="U16:V16"/>
    <mergeCell ref="W16:X16"/>
    <mergeCell ref="Y16:Z16"/>
    <mergeCell ref="AC16:AD16"/>
  </mergeCells>
  <phoneticPr fontId="2" type="noConversion"/>
  <pageMargins left="0.39370078740157483" right="0" top="0" bottom="0" header="0.51181102362204722" footer="0.51181102362204722"/>
  <pageSetup paperSize="9" scale="72" orientation="landscape" r:id="rId1"/>
  <headerFooter alignWithMargins="0"/>
  <rowBreaks count="4" manualBreakCount="4">
    <brk id="72" max="59" man="1"/>
    <brk id="120" max="59" man="1"/>
    <brk id="171" max="59" man="1"/>
    <brk id="208" max="16383" man="1"/>
  </rowBreaks>
  <colBreaks count="4" manualBreakCount="4">
    <brk id="19" max="201" man="1"/>
    <brk id="35" max="206" man="1"/>
    <brk id="48" max="206" man="1"/>
    <brk id="6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на 2025</vt:lpstr>
      <vt:lpstr>'Проект на 2025'!Заголовки_для_печати</vt:lpstr>
      <vt:lpstr>'Проект на 2025'!Область_печати</vt:lpstr>
    </vt:vector>
  </TitlesOfParts>
  <Company>RePack by SPecialiST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kab-101-1</dc:creator>
  <cp:lastModifiedBy>Админ</cp:lastModifiedBy>
  <cp:lastPrinted>2025-06-05T11:05:22Z</cp:lastPrinted>
  <dcterms:created xsi:type="dcterms:W3CDTF">2015-12-29T12:47:44Z</dcterms:created>
  <dcterms:modified xsi:type="dcterms:W3CDTF">2025-06-05T11:08:56Z</dcterms:modified>
</cp:coreProperties>
</file>